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F:\2016년 업무\법인 및 산하시설 회계\세입세출예결산서\1.예산\2019년 추경\2차추경\"/>
    </mc:Choice>
  </mc:AlternateContent>
  <bookViews>
    <workbookView xWindow="0" yWindow="240" windowWidth="20385" windowHeight="8070" tabRatio="936" firstSheet="1" activeTab="4"/>
  </bookViews>
  <sheets>
    <sheet name="기안문" sheetId="27" state="hidden" r:id="rId1"/>
    <sheet name="총칙" sheetId="17" r:id="rId2"/>
    <sheet name="총괄" sheetId="2" r:id="rId3"/>
    <sheet name="세입" sheetId="4" r:id="rId4"/>
    <sheet name="세출" sheetId="3" r:id="rId5"/>
    <sheet name="예" sheetId="31" state="hidden" r:id="rId6"/>
    <sheet name="Sheet1" sheetId="32" state="hidden" r:id="rId7"/>
    <sheet name="Sheet2" sheetId="33" state="hidden" r:id="rId8"/>
    <sheet name="기간" sheetId="34" state="hidden" r:id="rId9"/>
  </sheets>
  <externalReferences>
    <externalReference r:id="rId10"/>
  </externalReferences>
  <definedNames>
    <definedName name="_xlnm.Print_Area" localSheetId="8">기간!$A$1:$P$28</definedName>
    <definedName name="_xlnm.Print_Area" localSheetId="0">기안문!$A$40:$H$78</definedName>
    <definedName name="_xlnm.Print_Area" localSheetId="3">세입!$A$1:$O$143</definedName>
    <definedName name="_xlnm.Print_Area" localSheetId="4">세출!$A$1:$O$197</definedName>
    <definedName name="_xlnm.Print_Area" localSheetId="2">총괄!$A$1:$N$58</definedName>
    <definedName name="_xlnm.Print_Area" localSheetId="1">총칙!$A$1:$G$15</definedName>
    <definedName name="_xlnm.Print_Area">#REF!</definedName>
    <definedName name="_xlnm.Print_Titles" localSheetId="3">세입!$2:$3</definedName>
    <definedName name="_xlnm.Print_Titles" localSheetId="4">세출!$2:$3</definedName>
    <definedName name="_xlnm.Print_Titles" localSheetId="2">총괄!$3:$5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N55" i="2" l="1"/>
  <c r="N56" i="2"/>
  <c r="L27" i="2"/>
  <c r="O112" i="3"/>
  <c r="O129" i="4"/>
  <c r="O126" i="3" l="1"/>
  <c r="O120" i="3" l="1"/>
  <c r="O108" i="3" l="1"/>
  <c r="E139" i="4"/>
  <c r="E135" i="4"/>
  <c r="O131" i="4"/>
  <c r="O128" i="4" s="1"/>
  <c r="E125" i="4"/>
  <c r="E115" i="4"/>
  <c r="E114" i="4"/>
  <c r="E10" i="4"/>
  <c r="E9" i="4"/>
  <c r="E5" i="4"/>
  <c r="O115" i="4"/>
  <c r="E131" i="4" l="1"/>
  <c r="O93" i="3"/>
  <c r="O92" i="3"/>
  <c r="O91" i="3"/>
  <c r="O90" i="3"/>
  <c r="O89" i="3"/>
  <c r="O88" i="3"/>
  <c r="O157" i="3"/>
  <c r="O171" i="3"/>
  <c r="O175" i="3" l="1"/>
  <c r="O194" i="3"/>
  <c r="O133" i="3" l="1"/>
  <c r="O132" i="3"/>
  <c r="O131" i="3"/>
  <c r="O130" i="3" s="1"/>
  <c r="O167" i="3"/>
  <c r="O166" i="3"/>
  <c r="O184" i="3"/>
  <c r="O183" i="3"/>
  <c r="O182" i="3"/>
  <c r="O104" i="3"/>
  <c r="O103" i="3"/>
  <c r="O102" i="3"/>
  <c r="O101" i="3"/>
  <c r="O100" i="3"/>
  <c r="O99" i="3"/>
  <c r="O85" i="3"/>
  <c r="O84" i="3"/>
  <c r="O83" i="3"/>
  <c r="O82" i="3"/>
  <c r="O81" i="3"/>
  <c r="O80" i="3" s="1"/>
  <c r="O153" i="3" l="1"/>
  <c r="O181" i="3"/>
  <c r="O115" i="3"/>
  <c r="O114" i="3"/>
  <c r="O113" i="3"/>
  <c r="O107" i="3" l="1"/>
  <c r="O106" i="3" s="1"/>
  <c r="O74" i="3"/>
  <c r="O73" i="3"/>
  <c r="O72" i="3"/>
  <c r="O71" i="3"/>
  <c r="O70" i="3"/>
  <c r="O69" i="3" s="1"/>
  <c r="O68" i="3"/>
  <c r="O65" i="3"/>
  <c r="O64" i="3"/>
  <c r="O63" i="3"/>
  <c r="O62" i="3"/>
  <c r="O61" i="3"/>
  <c r="O60" i="3"/>
  <c r="O59" i="3"/>
  <c r="O58" i="3"/>
  <c r="O57" i="3"/>
  <c r="O56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39" i="3"/>
  <c r="O38" i="3"/>
  <c r="O36" i="3" s="1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 s="1"/>
  <c r="E7" i="3" s="1"/>
  <c r="O18" i="4"/>
  <c r="O111" i="4"/>
  <c r="O110" i="4"/>
  <c r="O109" i="4"/>
  <c r="O106" i="4"/>
  <c r="O105" i="4"/>
  <c r="O104" i="4"/>
  <c r="O103" i="4"/>
  <c r="O101" i="4"/>
  <c r="O100" i="4"/>
  <c r="O99" i="4"/>
  <c r="O98" i="4"/>
  <c r="O97" i="4"/>
  <c r="O95" i="4"/>
  <c r="O94" i="4"/>
  <c r="O93" i="4"/>
  <c r="O92" i="4"/>
  <c r="O91" i="4"/>
  <c r="O90" i="4"/>
  <c r="O89" i="4"/>
  <c r="O88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0" i="4"/>
  <c r="O49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67" i="3" l="1"/>
  <c r="O17" i="4"/>
  <c r="O16" i="4"/>
  <c r="O15" i="4"/>
  <c r="O12" i="4"/>
  <c r="E69" i="3" l="1"/>
  <c r="E36" i="3"/>
  <c r="F36" i="3" s="1"/>
  <c r="G36" i="3" s="1"/>
  <c r="O192" i="3"/>
  <c r="O191" i="3" s="1"/>
  <c r="E193" i="3"/>
  <c r="D192" i="3"/>
  <c r="B192" i="3"/>
  <c r="D191" i="3"/>
  <c r="E190" i="3"/>
  <c r="F190" i="3" s="1"/>
  <c r="G190" i="3" s="1"/>
  <c r="O189" i="3"/>
  <c r="E189" i="3"/>
  <c r="D189" i="3"/>
  <c r="B189" i="3"/>
  <c r="O188" i="3"/>
  <c r="E188" i="3"/>
  <c r="D188" i="3"/>
  <c r="O186" i="3"/>
  <c r="O185" i="3" s="1"/>
  <c r="D185" i="3"/>
  <c r="E181" i="3"/>
  <c r="F181" i="3" s="1"/>
  <c r="G181" i="3" s="1"/>
  <c r="E175" i="3"/>
  <c r="F175" i="3" s="1"/>
  <c r="G175" i="3" s="1"/>
  <c r="O172" i="3"/>
  <c r="O170" i="3" s="1"/>
  <c r="E170" i="3" s="1"/>
  <c r="F170" i="3" s="1"/>
  <c r="G170" i="3" s="1"/>
  <c r="O165" i="3"/>
  <c r="O164" i="3" s="1"/>
  <c r="E157" i="3"/>
  <c r="F157" i="3" s="1"/>
  <c r="G157" i="3" s="1"/>
  <c r="E153" i="3"/>
  <c r="E150" i="3"/>
  <c r="F150" i="3" s="1"/>
  <c r="G150" i="3" s="1"/>
  <c r="E149" i="3"/>
  <c r="F149" i="3" s="1"/>
  <c r="G149" i="3" s="1"/>
  <c r="D148" i="3"/>
  <c r="O145" i="3"/>
  <c r="O144" i="3"/>
  <c r="E141" i="3"/>
  <c r="F141" i="3" s="1"/>
  <c r="G141" i="3" s="1"/>
  <c r="E140" i="3"/>
  <c r="F140" i="3" s="1"/>
  <c r="G140" i="3" s="1"/>
  <c r="E139" i="3"/>
  <c r="F139" i="3" s="1"/>
  <c r="G139" i="3" s="1"/>
  <c r="E138" i="3"/>
  <c r="F138" i="3" s="1"/>
  <c r="G138" i="3" s="1"/>
  <c r="E137" i="3"/>
  <c r="D136" i="3"/>
  <c r="E130" i="3"/>
  <c r="E128" i="3"/>
  <c r="F128" i="3" s="1"/>
  <c r="G128" i="3" s="1"/>
  <c r="F127" i="3"/>
  <c r="G127" i="3" s="1"/>
  <c r="O125" i="3"/>
  <c r="O124" i="3"/>
  <c r="O123" i="3"/>
  <c r="O122" i="3"/>
  <c r="O121" i="3"/>
  <c r="O119" i="3" s="1"/>
  <c r="O118" i="3" s="1"/>
  <c r="D118" i="3"/>
  <c r="E112" i="3"/>
  <c r="F112" i="3" s="1"/>
  <c r="G112" i="3" s="1"/>
  <c r="E108" i="3"/>
  <c r="E107" i="3" s="1"/>
  <c r="D107" i="3"/>
  <c r="D106" i="3"/>
  <c r="O105" i="3"/>
  <c r="O98" i="3" s="1"/>
  <c r="E97" i="3"/>
  <c r="F97" i="3" s="1"/>
  <c r="G97" i="3" s="1"/>
  <c r="O96" i="3"/>
  <c r="O95" i="3"/>
  <c r="O94" i="3"/>
  <c r="E86" i="3"/>
  <c r="F86" i="3" s="1"/>
  <c r="G86" i="3" s="1"/>
  <c r="E80" i="3"/>
  <c r="F80" i="3" s="1"/>
  <c r="G80" i="3" s="1"/>
  <c r="E79" i="3"/>
  <c r="F79" i="3" s="1"/>
  <c r="G79" i="3" s="1"/>
  <c r="D78" i="3"/>
  <c r="E77" i="3"/>
  <c r="F77" i="3" s="1"/>
  <c r="G77" i="3" s="1"/>
  <c r="O76" i="3"/>
  <c r="E76" i="3"/>
  <c r="D76" i="3"/>
  <c r="E75" i="3"/>
  <c r="F75" i="3" s="1"/>
  <c r="G75" i="3" s="1"/>
  <c r="E67" i="3"/>
  <c r="F67" i="3" s="1"/>
  <c r="G67" i="3" s="1"/>
  <c r="E66" i="3"/>
  <c r="F66" i="3" s="1"/>
  <c r="G66" i="3" s="1"/>
  <c r="D6" i="3"/>
  <c r="G3" i="3"/>
  <c r="F3" i="3"/>
  <c r="H2" i="3"/>
  <c r="F2" i="3"/>
  <c r="C2" i="3"/>
  <c r="B2" i="3"/>
  <c r="A2" i="3"/>
  <c r="O136" i="3" l="1"/>
  <c r="O142" i="3"/>
  <c r="O87" i="3"/>
  <c r="E119" i="3"/>
  <c r="F137" i="3"/>
  <c r="G137" i="3" s="1"/>
  <c r="F130" i="3"/>
  <c r="G130" i="3" s="1"/>
  <c r="E118" i="3"/>
  <c r="F119" i="3"/>
  <c r="G119" i="3" s="1"/>
  <c r="F69" i="3"/>
  <c r="G69" i="3" s="1"/>
  <c r="E6" i="3"/>
  <c r="F153" i="3"/>
  <c r="G153" i="3" s="1"/>
  <c r="E98" i="3"/>
  <c r="O148" i="3"/>
  <c r="F193" i="3"/>
  <c r="E164" i="3"/>
  <c r="F164" i="3" s="1"/>
  <c r="G164" i="3" s="1"/>
  <c r="E194" i="3"/>
  <c r="F194" i="3" s="1"/>
  <c r="E186" i="3"/>
  <c r="F186" i="3" s="1"/>
  <c r="D117" i="3"/>
  <c r="E142" i="3"/>
  <c r="E136" i="3" s="1"/>
  <c r="F6" i="3"/>
  <c r="G6" i="3" s="1"/>
  <c r="F76" i="3"/>
  <c r="G76" i="3" s="1"/>
  <c r="F118" i="3"/>
  <c r="G118" i="3" s="1"/>
  <c r="F188" i="3"/>
  <c r="G188" i="3" s="1"/>
  <c r="F189" i="3"/>
  <c r="G189" i="3" s="1"/>
  <c r="D5" i="3"/>
  <c r="F108" i="3"/>
  <c r="G108" i="3" s="1"/>
  <c r="G107" i="3" s="1"/>
  <c r="G106" i="3" s="1"/>
  <c r="E106" i="3"/>
  <c r="F106" i="3" s="1"/>
  <c r="F107" i="3"/>
  <c r="O114" i="4"/>
  <c r="O113" i="4" s="1"/>
  <c r="E148" i="3" l="1"/>
  <c r="F148" i="3" s="1"/>
  <c r="G148" i="3" s="1"/>
  <c r="E185" i="3"/>
  <c r="F185" i="3" s="1"/>
  <c r="F142" i="3"/>
  <c r="G142" i="3" s="1"/>
  <c r="E87" i="3"/>
  <c r="O78" i="3"/>
  <c r="F98" i="3"/>
  <c r="G98" i="3" s="1"/>
  <c r="E192" i="3"/>
  <c r="E191" i="3" s="1"/>
  <c r="F136" i="3"/>
  <c r="G136" i="3" s="1"/>
  <c r="D4" i="3"/>
  <c r="O117" i="3"/>
  <c r="O6" i="3"/>
  <c r="F7" i="3"/>
  <c r="G7" i="3" s="1"/>
  <c r="E117" i="3"/>
  <c r="F117" i="3" s="1"/>
  <c r="G117" i="3" s="1"/>
  <c r="D9" i="2"/>
  <c r="D8" i="2" s="1"/>
  <c r="D7" i="2" s="1"/>
  <c r="D12" i="2"/>
  <c r="D13" i="2"/>
  <c r="D16" i="2"/>
  <c r="D17" i="2"/>
  <c r="D20" i="2"/>
  <c r="D21" i="2"/>
  <c r="D24" i="2"/>
  <c r="D25" i="2"/>
  <c r="D28" i="2"/>
  <c r="D29" i="2"/>
  <c r="D30" i="2"/>
  <c r="O5" i="3" l="1"/>
  <c r="F87" i="3"/>
  <c r="G87" i="3" s="1"/>
  <c r="G78" i="3" s="1"/>
  <c r="E78" i="3"/>
  <c r="E5" i="3" s="1"/>
  <c r="E4" i="3" s="1"/>
  <c r="O4" i="3"/>
  <c r="F191" i="3"/>
  <c r="F192" i="3"/>
  <c r="D27" i="2"/>
  <c r="D26" i="2" s="1"/>
  <c r="D23" i="2"/>
  <c r="D22" i="2" s="1"/>
  <c r="D19" i="2"/>
  <c r="D18" i="2" s="1"/>
  <c r="D15" i="2"/>
  <c r="D14" i="2" s="1"/>
  <c r="D11" i="2"/>
  <c r="D10" i="2" s="1"/>
  <c r="O7" i="4"/>
  <c r="E7" i="4" s="1"/>
  <c r="E11" i="4"/>
  <c r="D6" i="4"/>
  <c r="D5" i="4" s="1"/>
  <c r="F78" i="3" l="1"/>
  <c r="E9" i="2"/>
  <c r="E8" i="2" s="1"/>
  <c r="E6" i="4"/>
  <c r="F5" i="4" s="1"/>
  <c r="G5" i="4" s="1"/>
  <c r="E7" i="2"/>
  <c r="F7" i="2" s="1"/>
  <c r="D6" i="2"/>
  <c r="F7" i="4"/>
  <c r="G7" i="4" s="1"/>
  <c r="O6" i="4"/>
  <c r="O5" i="4" s="1"/>
  <c r="F8" i="2"/>
  <c r="F9" i="2"/>
  <c r="F5" i="3" l="1"/>
  <c r="G5" i="3" s="1"/>
  <c r="F4" i="3"/>
  <c r="G4" i="3" s="1"/>
  <c r="F6" i="4"/>
  <c r="G6" i="4" s="1"/>
  <c r="E143" i="4" l="1"/>
  <c r="E140" i="4"/>
  <c r="O191" i="2" l="1"/>
  <c r="L57" i="2" l="1"/>
  <c r="M57" i="2" l="1"/>
  <c r="L56" i="2"/>
  <c r="D139" i="4"/>
  <c r="D114" i="4"/>
  <c r="D128" i="4"/>
  <c r="D135" i="4"/>
  <c r="D134" i="4" s="1"/>
  <c r="L55" i="2" l="1"/>
  <c r="E129" i="4" l="1"/>
  <c r="E128" i="4" s="1"/>
  <c r="K56" i="2" l="1"/>
  <c r="M56" i="2" s="1"/>
  <c r="K15" i="2"/>
  <c r="K25" i="2" l="1"/>
  <c r="K34" i="2"/>
  <c r="K29" i="2"/>
  <c r="K41" i="2"/>
  <c r="E20" i="2"/>
  <c r="F20" i="2" l="1"/>
  <c r="G20" i="2" s="1"/>
  <c r="F129" i="4" l="1"/>
  <c r="E142" i="4"/>
  <c r="M44" i="2" l="1"/>
  <c r="N44" i="2" s="1"/>
  <c r="K9" i="2" l="1"/>
  <c r="E29" i="2"/>
  <c r="K8" i="2" l="1"/>
  <c r="D10" i="4" l="1"/>
  <c r="D9" i="4" s="1"/>
  <c r="D113" i="4"/>
  <c r="D127" i="4"/>
  <c r="D138" i="4"/>
  <c r="D4" i="4" l="1"/>
  <c r="K55" i="2"/>
  <c r="K53" i="2"/>
  <c r="K52" i="2" s="1"/>
  <c r="K50" i="2"/>
  <c r="K28" i="2" s="1"/>
  <c r="K24" i="2"/>
  <c r="K17" i="2"/>
  <c r="K7" i="2" s="1"/>
  <c r="K6" i="2" l="1"/>
  <c r="M9" i="2" l="1"/>
  <c r="N9" i="2" s="1"/>
  <c r="M46" i="2"/>
  <c r="N46" i="2" s="1"/>
  <c r="M47" i="2"/>
  <c r="N47" i="2" s="1"/>
  <c r="F29" i="2"/>
  <c r="G29" i="2" s="1"/>
  <c r="F142" i="4" l="1"/>
  <c r="G142" i="4" s="1"/>
  <c r="E137" i="4"/>
  <c r="O135" i="4"/>
  <c r="E16" i="2" l="1"/>
  <c r="F16" i="2" s="1"/>
  <c r="G16" i="2" s="1"/>
  <c r="F137" i="4"/>
  <c r="G137" i="4" s="1"/>
  <c r="E25" i="2"/>
  <c r="F25" i="2" s="1"/>
  <c r="G25" i="2" s="1"/>
  <c r="E12" i="2" l="1"/>
  <c r="E18" i="4" l="1"/>
  <c r="O10" i="4"/>
  <c r="O9" i="4" s="1"/>
  <c r="E13" i="2"/>
  <c r="F13" i="2" s="1"/>
  <c r="G13" i="2" s="1"/>
  <c r="F12" i="2"/>
  <c r="G12" i="2" s="1"/>
  <c r="M49" i="2"/>
  <c r="N49" i="2" s="1"/>
  <c r="E11" i="2" l="1"/>
  <c r="E10" i="2" s="1"/>
  <c r="F10" i="4"/>
  <c r="F10" i="2" l="1"/>
  <c r="G10" i="2" s="1"/>
  <c r="M36" i="2"/>
  <c r="N36" i="2" s="1"/>
  <c r="M37" i="2"/>
  <c r="N37" i="2" s="1"/>
  <c r="M35" i="2"/>
  <c r="N35" i="2" s="1"/>
  <c r="F11" i="2"/>
  <c r="G11" i="2" s="1"/>
  <c r="M19" i="2"/>
  <c r="N19" i="2" s="1"/>
  <c r="M48" i="2" l="1"/>
  <c r="N48" i="2" s="1"/>
  <c r="M38" i="2" l="1"/>
  <c r="N38" i="2" s="1"/>
  <c r="M12" i="2"/>
  <c r="N12" i="2" s="1"/>
  <c r="O134" i="4"/>
  <c r="M42" i="2"/>
  <c r="N42" i="2" s="1"/>
  <c r="M40" i="2"/>
  <c r="N40" i="2" s="1"/>
  <c r="M32" i="2"/>
  <c r="N32" i="2" s="1"/>
  <c r="M18" i="2"/>
  <c r="N18" i="2" s="1"/>
  <c r="B45" i="27"/>
  <c r="A47" i="27"/>
  <c r="B66" i="27"/>
  <c r="B74" i="27"/>
  <c r="B76" i="27"/>
  <c r="D76" i="27"/>
  <c r="A6" i="2"/>
  <c r="H6" i="2"/>
  <c r="A2" i="4"/>
  <c r="B2" i="4"/>
  <c r="C2" i="4"/>
  <c r="F2" i="4"/>
  <c r="F3" i="4"/>
  <c r="G3" i="4"/>
  <c r="B10" i="4"/>
  <c r="F11" i="4"/>
  <c r="G11" i="4" s="1"/>
  <c r="F115" i="4"/>
  <c r="G115" i="4" s="1"/>
  <c r="B139" i="4"/>
  <c r="D3" i="31"/>
  <c r="F3" i="31"/>
  <c r="G3" i="31"/>
  <c r="H3" i="31"/>
  <c r="E4" i="31"/>
  <c r="J4" i="31"/>
  <c r="W4" i="31"/>
  <c r="E5" i="31"/>
  <c r="L5" i="31" s="1"/>
  <c r="J5" i="31"/>
  <c r="W5" i="31"/>
  <c r="E6" i="31"/>
  <c r="J6" i="31"/>
  <c r="W6" i="31"/>
  <c r="E7" i="31"/>
  <c r="L7" i="31"/>
  <c r="J7" i="31"/>
  <c r="W7" i="31"/>
  <c r="E8" i="31"/>
  <c r="L8" i="31"/>
  <c r="J8" i="31"/>
  <c r="W8" i="31"/>
  <c r="E9" i="31"/>
  <c r="L9" i="31"/>
  <c r="J9" i="31"/>
  <c r="W9" i="31"/>
  <c r="E10" i="31"/>
  <c r="J10" i="31"/>
  <c r="W10" i="31"/>
  <c r="E11" i="31"/>
  <c r="I11" i="31" s="1"/>
  <c r="J11" i="31"/>
  <c r="K11" i="31" s="1"/>
  <c r="E12" i="31"/>
  <c r="L12" i="31"/>
  <c r="J12" i="31"/>
  <c r="K12" i="31"/>
  <c r="E13" i="31"/>
  <c r="J13" i="31"/>
  <c r="E14" i="31"/>
  <c r="J14" i="31"/>
  <c r="K14" i="31" s="1"/>
  <c r="E15" i="31"/>
  <c r="J15" i="31"/>
  <c r="E16" i="31"/>
  <c r="J16" i="31"/>
  <c r="K16" i="31" s="1"/>
  <c r="E17" i="31"/>
  <c r="L17" i="31"/>
  <c r="J17" i="31"/>
  <c r="E18" i="31"/>
  <c r="L18" i="31" s="1"/>
  <c r="J18" i="31"/>
  <c r="E19" i="31"/>
  <c r="J19" i="31"/>
  <c r="E20" i="31"/>
  <c r="I20" i="31"/>
  <c r="J20" i="31"/>
  <c r="W20" i="31"/>
  <c r="E21" i="31"/>
  <c r="J21" i="31"/>
  <c r="W21" i="31"/>
  <c r="E22" i="31"/>
  <c r="I22" i="31"/>
  <c r="J22" i="31"/>
  <c r="I26" i="31"/>
  <c r="I27" i="31"/>
  <c r="D34" i="31"/>
  <c r="F34" i="31"/>
  <c r="H34" i="31"/>
  <c r="E35" i="31"/>
  <c r="E36" i="31"/>
  <c r="G36" i="31" s="1"/>
  <c r="E37" i="31"/>
  <c r="G37" i="31" s="1"/>
  <c r="E38" i="31"/>
  <c r="G38" i="31" s="1"/>
  <c r="E39" i="31"/>
  <c r="G39" i="31" s="1"/>
  <c r="E40" i="31"/>
  <c r="G40" i="31" s="1"/>
  <c r="E41" i="31"/>
  <c r="G41" i="31" s="1"/>
  <c r="E42" i="31"/>
  <c r="G42" i="31" s="1"/>
  <c r="E43" i="31"/>
  <c r="G43" i="31" s="1"/>
  <c r="E44" i="31"/>
  <c r="G44" i="31" s="1"/>
  <c r="E45" i="31"/>
  <c r="G45" i="31" s="1"/>
  <c r="E46" i="31"/>
  <c r="G46" i="31" s="1"/>
  <c r="E47" i="31"/>
  <c r="G47" i="31" s="1"/>
  <c r="E48" i="31"/>
  <c r="G48" i="31" s="1"/>
  <c r="E49" i="31"/>
  <c r="G49" i="31" s="1"/>
  <c r="E50" i="31"/>
  <c r="G50" i="31" s="1"/>
  <c r="E51" i="31"/>
  <c r="G51" i="31" s="1"/>
  <c r="A4" i="32"/>
  <c r="C6" i="32"/>
  <c r="H2" i="34"/>
  <c r="K2" i="34"/>
  <c r="O2" i="34"/>
  <c r="H3" i="34"/>
  <c r="K3" i="34"/>
  <c r="L3" i="34"/>
  <c r="O3" i="34"/>
  <c r="P3" i="34"/>
  <c r="H4" i="34"/>
  <c r="K4" i="34"/>
  <c r="O4" i="34"/>
  <c r="Q4" i="34" s="1"/>
  <c r="H5" i="34"/>
  <c r="P5" i="34"/>
  <c r="K5" i="34"/>
  <c r="L5" i="34"/>
  <c r="O5" i="34"/>
  <c r="Q5" i="34"/>
  <c r="H6" i="34"/>
  <c r="K6" i="34"/>
  <c r="L6" i="34" s="1"/>
  <c r="O6" i="34"/>
  <c r="Q6" i="34" s="1"/>
  <c r="H7" i="34"/>
  <c r="P7" i="34" s="1"/>
  <c r="K7" i="34"/>
  <c r="L7" i="34"/>
  <c r="O7" i="34"/>
  <c r="H8" i="34"/>
  <c r="K8" i="34"/>
  <c r="L8" i="34"/>
  <c r="O8" i="34"/>
  <c r="Q8" i="34"/>
  <c r="H9" i="34"/>
  <c r="K9" i="34"/>
  <c r="L9" i="34" s="1"/>
  <c r="O9" i="34"/>
  <c r="H10" i="34"/>
  <c r="P10" i="34" s="1"/>
  <c r="K10" i="34"/>
  <c r="L10" i="34"/>
  <c r="O10" i="34"/>
  <c r="H11" i="34"/>
  <c r="K11" i="34"/>
  <c r="L11" i="34"/>
  <c r="O11" i="34"/>
  <c r="P11" i="34"/>
  <c r="H12" i="34"/>
  <c r="K12" i="34"/>
  <c r="L12" i="34" s="1"/>
  <c r="O12" i="34"/>
  <c r="H13" i="34"/>
  <c r="K13" i="34"/>
  <c r="O13" i="34"/>
  <c r="Q13" i="34" s="1"/>
  <c r="H14" i="34"/>
  <c r="K14" i="34"/>
  <c r="L14" i="34" s="1"/>
  <c r="O14" i="34"/>
  <c r="P14" i="34" s="1"/>
  <c r="H15" i="34"/>
  <c r="P15" i="34" s="1"/>
  <c r="K15" i="34"/>
  <c r="L15" i="34"/>
  <c r="O15" i="34"/>
  <c r="H16" i="34"/>
  <c r="K16" i="34"/>
  <c r="L16" i="34"/>
  <c r="O16" i="34"/>
  <c r="P16" i="34"/>
  <c r="H17" i="34"/>
  <c r="K17" i="34"/>
  <c r="O17" i="34"/>
  <c r="Q17" i="34"/>
  <c r="H18" i="34"/>
  <c r="K18" i="34"/>
  <c r="L18" i="34" s="1"/>
  <c r="O18" i="34"/>
  <c r="P18" i="34" s="1"/>
  <c r="H19" i="34"/>
  <c r="K19" i="34"/>
  <c r="L19" i="34"/>
  <c r="O19" i="34"/>
  <c r="P19" i="34"/>
  <c r="H20" i="34"/>
  <c r="K20" i="34"/>
  <c r="L20" i="34" s="1"/>
  <c r="O20" i="34"/>
  <c r="Q20" i="34"/>
  <c r="H21" i="34"/>
  <c r="P21" i="34"/>
  <c r="K21" i="34"/>
  <c r="L21" i="34"/>
  <c r="O21" i="34"/>
  <c r="Q21" i="34"/>
  <c r="H22" i="34"/>
  <c r="K22" i="34"/>
  <c r="L22" i="34" s="1"/>
  <c r="O22" i="34"/>
  <c r="H23" i="34"/>
  <c r="K23" i="34"/>
  <c r="L23" i="34"/>
  <c r="O23" i="34"/>
  <c r="P23" i="34"/>
  <c r="H24" i="34"/>
  <c r="K24" i="34"/>
  <c r="L24" i="34" s="1"/>
  <c r="O24" i="34"/>
  <c r="P24" i="34" s="1"/>
  <c r="H25" i="34"/>
  <c r="K25" i="34"/>
  <c r="L25" i="34"/>
  <c r="O25" i="34"/>
  <c r="P25" i="34"/>
  <c r="H26" i="34"/>
  <c r="K26" i="34"/>
  <c r="L26" i="34" s="1"/>
  <c r="O26" i="34"/>
  <c r="H27" i="34"/>
  <c r="P27" i="34" s="1"/>
  <c r="K27" i="34"/>
  <c r="L27" i="34"/>
  <c r="O27" i="34"/>
  <c r="L13" i="34"/>
  <c r="I17" i="31"/>
  <c r="I8" i="31"/>
  <c r="V8" i="31"/>
  <c r="L20" i="31"/>
  <c r="L11" i="31"/>
  <c r="I12" i="31"/>
  <c r="N12" i="31" s="1"/>
  <c r="O12" i="31" s="1"/>
  <c r="I16" i="31"/>
  <c r="L16" i="31"/>
  <c r="Q16" i="34"/>
  <c r="Q3" i="34"/>
  <c r="L15" i="31"/>
  <c r="I15" i="31"/>
  <c r="N16" i="31"/>
  <c r="O16" i="31" s="1"/>
  <c r="Q18" i="34"/>
  <c r="Q19" i="34"/>
  <c r="I7" i="31"/>
  <c r="K7" i="31"/>
  <c r="V20" i="31"/>
  <c r="Q27" i="34"/>
  <c r="P17" i="34"/>
  <c r="I5" i="31"/>
  <c r="C7" i="32"/>
  <c r="C18" i="32" s="1"/>
  <c r="X5" i="31"/>
  <c r="Q7" i="31"/>
  <c r="P20" i="34"/>
  <c r="P8" i="34"/>
  <c r="Q24" i="34"/>
  <c r="L17" i="34"/>
  <c r="V5" i="31"/>
  <c r="X7" i="31"/>
  <c r="Q23" i="34"/>
  <c r="Q10" i="34"/>
  <c r="L22" i="31"/>
  <c r="I9" i="31"/>
  <c r="P12" i="31"/>
  <c r="X8" i="31"/>
  <c r="K8" i="31"/>
  <c r="N8" i="31"/>
  <c r="Q11" i="34"/>
  <c r="P6" i="34"/>
  <c r="Q25" i="34"/>
  <c r="Q14" i="34"/>
  <c r="O8" i="31"/>
  <c r="P7" i="31"/>
  <c r="V7" i="31"/>
  <c r="N7" i="31"/>
  <c r="O7" i="31"/>
  <c r="N11" i="31"/>
  <c r="O11" i="31" s="1"/>
  <c r="K5" i="31"/>
  <c r="L4" i="31"/>
  <c r="I4" i="31"/>
  <c r="K4" i="31" s="1"/>
  <c r="Q15" i="34"/>
  <c r="P13" i="34"/>
  <c r="Q7" i="34"/>
  <c r="P4" i="34"/>
  <c r="D6" i="32"/>
  <c r="C8" i="32"/>
  <c r="G35" i="31"/>
  <c r="I14" i="31"/>
  <c r="L14" i="31"/>
  <c r="E136" i="4"/>
  <c r="I18" i="31"/>
  <c r="N14" i="31"/>
  <c r="O14" i="31" s="1"/>
  <c r="E6" i="32"/>
  <c r="D8" i="32"/>
  <c r="V4" i="31"/>
  <c r="X4" i="31"/>
  <c r="N4" i="31"/>
  <c r="Q5" i="31"/>
  <c r="S4" i="31"/>
  <c r="Q4" i="31"/>
  <c r="M43" i="2" l="1"/>
  <c r="N43" i="2" s="1"/>
  <c r="M20" i="2"/>
  <c r="N20" i="2" s="1"/>
  <c r="M27" i="2"/>
  <c r="N27" i="2" s="1"/>
  <c r="E24" i="2"/>
  <c r="E23" i="2" s="1"/>
  <c r="O127" i="4"/>
  <c r="F136" i="4"/>
  <c r="G136" i="4" s="1"/>
  <c r="O139" i="4"/>
  <c r="M31" i="2"/>
  <c r="N31" i="2" s="1"/>
  <c r="O4" i="31"/>
  <c r="N18" i="31"/>
  <c r="O18" i="31" s="1"/>
  <c r="K18" i="31"/>
  <c r="S8" i="31"/>
  <c r="P8" i="31"/>
  <c r="M8" i="31"/>
  <c r="R8" i="31" s="1"/>
  <c r="V9" i="31"/>
  <c r="K9" i="31"/>
  <c r="N9" i="31"/>
  <c r="O9" i="31" s="1"/>
  <c r="Q2" i="34"/>
  <c r="P2" i="34"/>
  <c r="O28" i="34"/>
  <c r="L2" i="34"/>
  <c r="H28" i="34"/>
  <c r="G4" i="32"/>
  <c r="J4" i="32"/>
  <c r="D4" i="32"/>
  <c r="H4" i="32"/>
  <c r="C4" i="32"/>
  <c r="C19" i="32" s="1"/>
  <c r="I4" i="32"/>
  <c r="E4" i="32"/>
  <c r="N22" i="31"/>
  <c r="O22" i="31" s="1"/>
  <c r="K22" i="31"/>
  <c r="I21" i="31"/>
  <c r="L21" i="31"/>
  <c r="I19" i="31"/>
  <c r="L19" i="31"/>
  <c r="P16" i="31"/>
  <c r="M16" i="31"/>
  <c r="S16" i="31"/>
  <c r="Q16" i="31"/>
  <c r="M14" i="31"/>
  <c r="Q14" i="31"/>
  <c r="S14" i="31"/>
  <c r="M12" i="31"/>
  <c r="R12" i="31" s="1"/>
  <c r="S12" i="31"/>
  <c r="Q12" i="31"/>
  <c r="P11" i="31"/>
  <c r="S11" i="31"/>
  <c r="Q11" i="31"/>
  <c r="I10" i="31"/>
  <c r="L10" i="31"/>
  <c r="P14" i="31"/>
  <c r="M11" i="31"/>
  <c r="E7" i="32"/>
  <c r="E18" i="32" s="1"/>
  <c r="E8" i="32"/>
  <c r="F6" i="32"/>
  <c r="E34" i="31"/>
  <c r="G34" i="31" s="1"/>
  <c r="D7" i="32"/>
  <c r="D18" i="32" s="1"/>
  <c r="S5" i="31"/>
  <c r="P5" i="31"/>
  <c r="M5" i="31"/>
  <c r="R5" i="31" s="1"/>
  <c r="Q8" i="31"/>
  <c r="F4" i="32"/>
  <c r="X9" i="31"/>
  <c r="K4" i="32"/>
  <c r="S7" i="31"/>
  <c r="T7" i="31" s="1"/>
  <c r="M7" i="31"/>
  <c r="R7" i="31" s="1"/>
  <c r="P4" i="31"/>
  <c r="M4" i="31"/>
  <c r="N5" i="31"/>
  <c r="O5" i="31" s="1"/>
  <c r="V6" i="31"/>
  <c r="X6" i="31"/>
  <c r="R11" i="31"/>
  <c r="I6" i="31"/>
  <c r="L6" i="31"/>
  <c r="E3" i="31"/>
  <c r="I3" i="31" s="1"/>
  <c r="J3" i="31"/>
  <c r="N15" i="31"/>
  <c r="O15" i="31" s="1"/>
  <c r="K15" i="31"/>
  <c r="N17" i="31"/>
  <c r="O17" i="31" s="1"/>
  <c r="K17" i="31"/>
  <c r="P26" i="34"/>
  <c r="Q26" i="34"/>
  <c r="Q22" i="34"/>
  <c r="P22" i="34"/>
  <c r="Q12" i="34"/>
  <c r="P12" i="34"/>
  <c r="P9" i="34"/>
  <c r="Q9" i="34"/>
  <c r="L4" i="34"/>
  <c r="K28" i="34"/>
  <c r="N20" i="31"/>
  <c r="O20" i="31" s="1"/>
  <c r="X20" i="31"/>
  <c r="K20" i="31"/>
  <c r="L13" i="31"/>
  <c r="I13" i="31"/>
  <c r="M13" i="2"/>
  <c r="N13" i="2" s="1"/>
  <c r="M10" i="2" l="1"/>
  <c r="N10" i="2" s="1"/>
  <c r="M11" i="2"/>
  <c r="N11" i="2" s="1"/>
  <c r="M22" i="2"/>
  <c r="N22" i="2" s="1"/>
  <c r="M45" i="2"/>
  <c r="N45" i="2" s="1"/>
  <c r="L41" i="2"/>
  <c r="F24" i="2"/>
  <c r="G24" i="2" s="1"/>
  <c r="E17" i="2"/>
  <c r="E15" i="2" s="1"/>
  <c r="E28" i="2"/>
  <c r="F28" i="2" s="1"/>
  <c r="G28" i="2" s="1"/>
  <c r="E21" i="2"/>
  <c r="E19" i="2" s="1"/>
  <c r="E22" i="2"/>
  <c r="F22" i="2" s="1"/>
  <c r="G22" i="2" s="1"/>
  <c r="F23" i="2"/>
  <c r="G23" i="2" s="1"/>
  <c r="F140" i="4"/>
  <c r="G140" i="4" s="1"/>
  <c r="V22" i="31"/>
  <c r="N13" i="31"/>
  <c r="O13" i="31" s="1"/>
  <c r="K13" i="31"/>
  <c r="Q20" i="31"/>
  <c r="S20" i="31"/>
  <c r="M20" i="31"/>
  <c r="R20" i="31" s="1"/>
  <c r="P20" i="31"/>
  <c r="L3" i="31"/>
  <c r="F18" i="4"/>
  <c r="G18" i="4" s="1"/>
  <c r="T5" i="31"/>
  <c r="F7" i="32"/>
  <c r="F8" i="32"/>
  <c r="G6" i="32"/>
  <c r="F18" i="32"/>
  <c r="F125" i="4"/>
  <c r="R16" i="31"/>
  <c r="N19" i="31"/>
  <c r="O19" i="31" s="1"/>
  <c r="K19" i="31"/>
  <c r="X21" i="31"/>
  <c r="K21" i="31"/>
  <c r="V21" i="31"/>
  <c r="N21" i="31"/>
  <c r="O21" i="31" s="1"/>
  <c r="P28" i="34"/>
  <c r="Q28" i="34"/>
  <c r="S9" i="31"/>
  <c r="M9" i="31"/>
  <c r="P9" i="31"/>
  <c r="Q9" i="31"/>
  <c r="T8" i="31"/>
  <c r="P18" i="31"/>
  <c r="S18" i="31"/>
  <c r="M18" i="31"/>
  <c r="R18" i="31" s="1"/>
  <c r="Q18" i="31"/>
  <c r="O138" i="4"/>
  <c r="O4" i="4" s="1"/>
  <c r="L28" i="34"/>
  <c r="S17" i="31"/>
  <c r="M17" i="31"/>
  <c r="P17" i="31"/>
  <c r="Q17" i="31"/>
  <c r="Q15" i="31"/>
  <c r="P15" i="31"/>
  <c r="S15" i="31"/>
  <c r="M15" i="31"/>
  <c r="R15" i="31" s="1"/>
  <c r="K3" i="31"/>
  <c r="S3" i="31" s="1"/>
  <c r="N6" i="31"/>
  <c r="K6" i="31"/>
  <c r="R4" i="31"/>
  <c r="T4" i="31" s="1"/>
  <c r="F19" i="32"/>
  <c r="N10" i="31"/>
  <c r="O10" i="31" s="1"/>
  <c r="K10" i="31"/>
  <c r="X10" i="31"/>
  <c r="V10" i="31"/>
  <c r="T11" i="31"/>
  <c r="T12" i="31"/>
  <c r="T14" i="31"/>
  <c r="R14" i="31"/>
  <c r="T16" i="31"/>
  <c r="Q22" i="31"/>
  <c r="S22" i="31"/>
  <c r="M22" i="31"/>
  <c r="P22" i="31"/>
  <c r="E19" i="32"/>
  <c r="D19" i="32"/>
  <c r="F135" i="4"/>
  <c r="G135" i="4" s="1"/>
  <c r="E134" i="4"/>
  <c r="L53" i="2" l="1"/>
  <c r="M21" i="2"/>
  <c r="N21" i="2" s="1"/>
  <c r="M33" i="2"/>
  <c r="N33" i="2" s="1"/>
  <c r="M30" i="2"/>
  <c r="N30" i="2" s="1"/>
  <c r="L15" i="2"/>
  <c r="M15" i="2" s="1"/>
  <c r="N15" i="2" s="1"/>
  <c r="M16" i="2"/>
  <c r="N16" i="2" s="1"/>
  <c r="M58" i="2"/>
  <c r="M41" i="2"/>
  <c r="N41" i="2" s="1"/>
  <c r="M23" i="2"/>
  <c r="N23" i="2" s="1"/>
  <c r="F17" i="2"/>
  <c r="G17" i="2" s="1"/>
  <c r="F21" i="2"/>
  <c r="G21" i="2" s="1"/>
  <c r="F143" i="4"/>
  <c r="G143" i="4" s="1"/>
  <c r="E30" i="2"/>
  <c r="E14" i="2"/>
  <c r="F15" i="2"/>
  <c r="G15" i="2" s="1"/>
  <c r="F139" i="4"/>
  <c r="F131" i="4"/>
  <c r="G131" i="4" s="1"/>
  <c r="O6" i="31"/>
  <c r="O3" i="31" s="1"/>
  <c r="N3" i="31"/>
  <c r="R17" i="31"/>
  <c r="R9" i="31"/>
  <c r="G10" i="4"/>
  <c r="F134" i="4"/>
  <c r="G134" i="4" s="1"/>
  <c r="R22" i="31"/>
  <c r="T22" i="31" s="1"/>
  <c r="S10" i="31"/>
  <c r="P10" i="31"/>
  <c r="M10" i="31"/>
  <c r="Q10" i="31"/>
  <c r="P6" i="31"/>
  <c r="S6" i="31"/>
  <c r="M6" i="31"/>
  <c r="Q6" i="31"/>
  <c r="T15" i="31"/>
  <c r="T17" i="31"/>
  <c r="T18" i="31"/>
  <c r="T9" i="31"/>
  <c r="M21" i="31"/>
  <c r="P21" i="31"/>
  <c r="Q21" i="31"/>
  <c r="S21" i="31"/>
  <c r="S19" i="31"/>
  <c r="M19" i="31"/>
  <c r="Q19" i="31"/>
  <c r="P19" i="31"/>
  <c r="G125" i="4"/>
  <c r="F114" i="4"/>
  <c r="G114" i="4" s="1"/>
  <c r="E113" i="4"/>
  <c r="G8" i="32"/>
  <c r="H6" i="32"/>
  <c r="G7" i="32"/>
  <c r="G18" i="32"/>
  <c r="G19" i="32" s="1"/>
  <c r="T20" i="31"/>
  <c r="M13" i="31"/>
  <c r="Q13" i="31"/>
  <c r="P13" i="31"/>
  <c r="S13" i="31"/>
  <c r="F14" i="2" l="1"/>
  <c r="G14" i="2" s="1"/>
  <c r="L17" i="2"/>
  <c r="M17" i="2" s="1"/>
  <c r="N17" i="2" s="1"/>
  <c r="L29" i="2"/>
  <c r="M29" i="2" s="1"/>
  <c r="N29" i="2" s="1"/>
  <c r="M55" i="2"/>
  <c r="L25" i="2"/>
  <c r="M26" i="2"/>
  <c r="N26" i="2" s="1"/>
  <c r="M54" i="2"/>
  <c r="N54" i="2" s="1"/>
  <c r="F19" i="2"/>
  <c r="G19" i="2" s="1"/>
  <c r="E18" i="2"/>
  <c r="F18" i="2" s="1"/>
  <c r="G18" i="2" s="1"/>
  <c r="E27" i="2"/>
  <c r="F30" i="2"/>
  <c r="G30" i="2" s="1"/>
  <c r="E127" i="4"/>
  <c r="E4" i="4" s="1"/>
  <c r="F128" i="4"/>
  <c r="G128" i="4" s="1"/>
  <c r="H8" i="32"/>
  <c r="H7" i="32"/>
  <c r="I6" i="32"/>
  <c r="H18" i="32"/>
  <c r="H19" i="32" s="1"/>
  <c r="F113" i="4"/>
  <c r="G113" i="4" s="1"/>
  <c r="R19" i="31"/>
  <c r="E138" i="4"/>
  <c r="F138" i="4" s="1"/>
  <c r="G139" i="4"/>
  <c r="Q3" i="31"/>
  <c r="F9" i="4"/>
  <c r="G9" i="4" s="1"/>
  <c r="R13" i="31"/>
  <c r="T13" i="31" s="1"/>
  <c r="T19" i="31"/>
  <c r="R21" i="31"/>
  <c r="T21" i="31" s="1"/>
  <c r="M3" i="31"/>
  <c r="R6" i="31"/>
  <c r="T6" i="31" s="1"/>
  <c r="P3" i="31"/>
  <c r="R10" i="31"/>
  <c r="T10" i="31" s="1"/>
  <c r="L24" i="2" l="1"/>
  <c r="M24" i="2" s="1"/>
  <c r="N24" i="2" s="1"/>
  <c r="M25" i="2"/>
  <c r="N25" i="2" s="1"/>
  <c r="L52" i="2"/>
  <c r="M52" i="2" s="1"/>
  <c r="N52" i="2" s="1"/>
  <c r="M53" i="2"/>
  <c r="N53" i="2" s="1"/>
  <c r="E26" i="2"/>
  <c r="F26" i="2" s="1"/>
  <c r="G26" i="2" s="1"/>
  <c r="F27" i="2"/>
  <c r="G27" i="2" s="1"/>
  <c r="F127" i="4"/>
  <c r="G127" i="4" s="1"/>
  <c r="R3" i="31"/>
  <c r="T3" i="31" s="1"/>
  <c r="I24" i="31" s="1"/>
  <c r="G138" i="4"/>
  <c r="J6" i="32"/>
  <c r="I7" i="32"/>
  <c r="I8" i="32"/>
  <c r="I18" i="32" s="1"/>
  <c r="I19" i="32" s="1"/>
  <c r="E6" i="2" l="1"/>
  <c r="M14" i="2"/>
  <c r="N14" i="2" s="1"/>
  <c r="L8" i="2"/>
  <c r="F4" i="4"/>
  <c r="G4" i="4" s="1"/>
  <c r="I28" i="31"/>
  <c r="I29" i="31"/>
  <c r="K6" i="32"/>
  <c r="J8" i="32"/>
  <c r="J7" i="32"/>
  <c r="J18" i="32" s="1"/>
  <c r="J19" i="32" s="1"/>
  <c r="M8" i="2" l="1"/>
  <c r="N8" i="2" s="1"/>
  <c r="L7" i="2"/>
  <c r="F6" i="2"/>
  <c r="G6" i="2" s="1"/>
  <c r="K8" i="32"/>
  <c r="K7" i="32"/>
  <c r="K18" i="32" s="1"/>
  <c r="K19" i="32" s="1"/>
  <c r="M7" i="2" l="1"/>
  <c r="N7" i="2" s="1"/>
  <c r="M39" i="2" l="1"/>
  <c r="N39" i="2" s="1"/>
  <c r="L34" i="2"/>
  <c r="M51" i="2" l="1"/>
  <c r="L50" i="2" l="1"/>
  <c r="M50" i="2" s="1"/>
  <c r="L28" i="2" l="1"/>
  <c r="L6" i="2" s="1"/>
  <c r="M34" i="2" l="1"/>
  <c r="N34" i="2" s="1"/>
  <c r="M6" i="2" l="1"/>
  <c r="N6" i="2" s="1"/>
  <c r="M28" i="2"/>
  <c r="N28" i="2" s="1"/>
</calcChain>
</file>

<file path=xl/sharedStrings.xml><?xml version="1.0" encoding="utf-8"?>
<sst xmlns="http://schemas.openxmlformats.org/spreadsheetml/2006/main" count="1029" uniqueCount="443">
  <si>
    <t>수 신 자</t>
  </si>
  <si>
    <t>아시아복지재단이사장</t>
  </si>
  <si>
    <t>(경 유)</t>
  </si>
  <si>
    <t>사무국장</t>
  </si>
  <si>
    <t>제    목</t>
  </si>
  <si>
    <t>예천노인전문요양원 2011년 추가경정 예산(안)  심의건</t>
  </si>
  <si>
    <t>           1. 예천노인전문요양원 2011년 예산(안) 을 심의하여 주시기 바랍니다.</t>
  </si>
  <si>
    <t>붙  임 :</t>
  </si>
  <si>
    <t>1. 2011년 추경예산(안) 1부.   끝.</t>
  </si>
  <si>
    <t xml:space="preserve">담 당 </t>
  </si>
  <si>
    <t>김미자</t>
  </si>
  <si>
    <t>원장</t>
  </si>
  <si>
    <t>이창환</t>
  </si>
  <si>
    <t>협조자</t>
  </si>
  <si>
    <t>시 행</t>
  </si>
  <si>
    <t xml:space="preserve">예전원 제 10 - 73  </t>
  </si>
  <si>
    <t>(2010. 12. 2.)</t>
  </si>
  <si>
    <t>접수    호(2010.    .    .)</t>
  </si>
  <si>
    <t>우 701-040</t>
  </si>
  <si>
    <t>경북 예천군 유천면 가리 263번지</t>
  </si>
  <si>
    <t>/</t>
  </si>
  <si>
    <t>전화(054)652-2435</t>
  </si>
  <si>
    <t>전송(054)652-2437</t>
  </si>
  <si>
    <t>/ antou@hanmail.net  / 공개</t>
  </si>
  <si>
    <t>제 1 조</t>
  </si>
  <si>
    <t xml:space="preserve">제 2 조 </t>
  </si>
  <si>
    <t xml:space="preserve">제 3 조 </t>
  </si>
  <si>
    <t>예산의 편성은 총괄보기와 세입·세출 예산을 별도로 작성하였다.</t>
  </si>
  <si>
    <t>1. 세입·세출 총괄</t>
  </si>
  <si>
    <t>관</t>
  </si>
  <si>
    <t>항</t>
  </si>
  <si>
    <t>목</t>
  </si>
  <si>
    <t>증감(B)-(A)</t>
  </si>
  <si>
    <t>액수</t>
  </si>
  <si>
    <t>비율(%)</t>
  </si>
  <si>
    <t>제수당</t>
  </si>
  <si>
    <t>2. 세입 예산 세부내역</t>
  </si>
  <si>
    <t>(단위:  원)</t>
  </si>
  <si>
    <t>계</t>
  </si>
  <si>
    <t>X</t>
  </si>
  <si>
    <t>1급</t>
  </si>
  <si>
    <t>3급</t>
  </si>
  <si>
    <t>급여</t>
  </si>
  <si>
    <t>생활복지사</t>
  </si>
  <si>
    <t>물리치료사</t>
  </si>
  <si>
    <t>조리원</t>
  </si>
  <si>
    <t>퇴직적립금</t>
  </si>
  <si>
    <t>국민연금</t>
  </si>
  <si>
    <t>건강보험</t>
  </si>
  <si>
    <t>운영비</t>
  </si>
  <si>
    <t>사업비</t>
  </si>
  <si>
    <t>구분</t>
  </si>
  <si>
    <t>직급</t>
  </si>
  <si>
    <t>성명</t>
  </si>
  <si>
    <t>기본급</t>
  </si>
  <si>
    <t>공제액</t>
  </si>
  <si>
    <t>차감지급액</t>
  </si>
  <si>
    <t>장기요양</t>
  </si>
  <si>
    <t>고용</t>
  </si>
  <si>
    <t>산재</t>
  </si>
  <si>
    <t>기관부담계</t>
  </si>
  <si>
    <t>합계</t>
  </si>
  <si>
    <t>총계</t>
  </si>
  <si>
    <t>종사자</t>
  </si>
  <si>
    <t>명절수당</t>
  </si>
  <si>
    <t>시간외수당</t>
  </si>
  <si>
    <t>28년</t>
  </si>
  <si>
    <t>배남숙</t>
  </si>
  <si>
    <t>이서윤</t>
  </si>
  <si>
    <t>변순란</t>
  </si>
  <si>
    <t>유정민</t>
  </si>
  <si>
    <t>정선화</t>
  </si>
  <si>
    <t>전경혜</t>
  </si>
  <si>
    <t>최점희</t>
  </si>
  <si>
    <t>김옥자</t>
  </si>
  <si>
    <t>김은실</t>
  </si>
  <si>
    <t>이옥분</t>
  </si>
  <si>
    <t>권희자</t>
  </si>
  <si>
    <t>김영숙</t>
  </si>
  <si>
    <t>강금주</t>
  </si>
  <si>
    <t>권경란</t>
  </si>
  <si>
    <t>5급</t>
  </si>
  <si>
    <t>장미순</t>
  </si>
  <si>
    <t>최은숙</t>
  </si>
  <si>
    <t>윤수정</t>
  </si>
  <si>
    <t>20명기준</t>
  </si>
  <si>
    <t>지급분</t>
  </si>
  <si>
    <t>수입</t>
  </si>
  <si>
    <t>지출</t>
  </si>
  <si>
    <t>퇴직금</t>
  </si>
  <si>
    <t>부담금</t>
  </si>
  <si>
    <t>부식</t>
  </si>
  <si>
    <t>전기</t>
  </si>
  <si>
    <t>미퇴직금</t>
  </si>
  <si>
    <t>상환금</t>
  </si>
  <si>
    <t>2010102019:40-45</t>
  </si>
  <si>
    <t>2층 근무중 이은실-권경란 다툼, 권희자, 김영미 동석</t>
  </si>
  <si>
    <t>무단결근-타업종면접 : 김영분</t>
  </si>
  <si>
    <t>이병찬-과식관리 부족:간호사,요양보호사</t>
  </si>
  <si>
    <t>임정달-당뇨쇼크관리 부족, 권영란-난몰라</t>
  </si>
  <si>
    <t>김미자최은숙-야근자식사, 직무태도</t>
  </si>
  <si>
    <t>권열란-김영숙 근무스트레스</t>
  </si>
  <si>
    <t>순번</t>
  </si>
  <si>
    <t>성별</t>
  </si>
  <si>
    <t>직위</t>
  </si>
  <si>
    <t>입사일</t>
  </si>
  <si>
    <t>기본</t>
  </si>
  <si>
    <t>수당</t>
  </si>
  <si>
    <t>2010</t>
  </si>
  <si>
    <t>증감</t>
  </si>
  <si>
    <t>남</t>
  </si>
  <si>
    <t>여</t>
  </si>
  <si>
    <t>간호사</t>
  </si>
  <si>
    <t>생활지도원</t>
  </si>
  <si>
    <t>변순량</t>
  </si>
  <si>
    <t>김순희</t>
  </si>
  <si>
    <t>이은실</t>
  </si>
  <si>
    <t>김영분</t>
  </si>
  <si>
    <t>배종숙</t>
  </si>
  <si>
    <t>김영미</t>
  </si>
  <si>
    <t>임정숙</t>
  </si>
  <si>
    <t>김종옥</t>
  </si>
  <si>
    <t>박광숙</t>
  </si>
  <si>
    <t>장명자</t>
  </si>
  <si>
    <t>정명자</t>
  </si>
  <si>
    <t>배진숙</t>
  </si>
  <si>
    <t>신효숙</t>
  </si>
  <si>
    <t>최금이</t>
  </si>
  <si>
    <t>조숙자</t>
  </si>
  <si>
    <t>전입금</t>
    <phoneticPr fontId="28" type="noConversion"/>
  </si>
  <si>
    <t>(단위: 원)</t>
    <phoneticPr fontId="28" type="noConversion"/>
  </si>
  <si>
    <t>조리원(10호봉)</t>
    <phoneticPr fontId="28" type="noConversion"/>
  </si>
  <si>
    <t>간호조무사(14호봉)</t>
    <phoneticPr fontId="28" type="noConversion"/>
  </si>
  <si>
    <t>국고보조금</t>
    <phoneticPr fontId="28" type="noConversion"/>
  </si>
  <si>
    <t>시도보조금</t>
    <phoneticPr fontId="28" type="noConversion"/>
  </si>
  <si>
    <t>예산산출내역</t>
    <phoneticPr fontId="28" type="noConversion"/>
  </si>
  <si>
    <t>전년도이월금</t>
    <phoneticPr fontId="28" type="noConversion"/>
  </si>
  <si>
    <t>불용품매각대</t>
    <phoneticPr fontId="28" type="noConversion"/>
  </si>
  <si>
    <t>비지정후원금</t>
    <phoneticPr fontId="28" type="noConversion"/>
  </si>
  <si>
    <t>지정후원금</t>
    <phoneticPr fontId="28" type="noConversion"/>
  </si>
  <si>
    <t xml:space="preserve">예산총칙에서 정하지 아니한 규정에 대하여는 사회복지법인 및 사회복지시설 재무·회계 규칙과 아동복지사업 지침에 준용하여 예산을 작성하였다. </t>
    <phoneticPr fontId="28" type="noConversion"/>
  </si>
  <si>
    <t>세          입</t>
    <phoneticPr fontId="28" type="noConversion"/>
  </si>
  <si>
    <t>세          출</t>
    <phoneticPr fontId="28" type="noConversion"/>
  </si>
  <si>
    <t>보조금수입</t>
  </si>
  <si>
    <t>고용보험</t>
  </si>
  <si>
    <t>산재보험</t>
  </si>
  <si>
    <t>후원금수입</t>
  </si>
  <si>
    <t>이월금</t>
  </si>
  <si>
    <t>잡수입</t>
  </si>
  <si>
    <t>기타잡수입</t>
  </si>
  <si>
    <t>전년도이월금(후원금)</t>
    <phoneticPr fontId="28" type="noConversion"/>
  </si>
  <si>
    <t>전년도이월금
(후원금)</t>
    <phoneticPr fontId="28" type="noConversion"/>
  </si>
  <si>
    <t>기타예금이자수입</t>
    <phoneticPr fontId="28" type="noConversion"/>
  </si>
  <si>
    <t>국고보조금</t>
  </si>
  <si>
    <t>시도보조금</t>
  </si>
  <si>
    <t>지정후원금</t>
  </si>
  <si>
    <t>비지정후원금</t>
  </si>
  <si>
    <t>전입금</t>
  </si>
  <si>
    <t>법인전입금(후원금)</t>
  </si>
  <si>
    <t>전년도이월금</t>
  </si>
  <si>
    <t>불용품매각대</t>
  </si>
  <si>
    <t>사무비</t>
  </si>
  <si>
    <t>인건비</t>
  </si>
  <si>
    <t>일용잡급</t>
  </si>
  <si>
    <t>퇴직금 및 퇴직적립금</t>
  </si>
  <si>
    <t>사회보험부담금</t>
  </si>
  <si>
    <t>기타후생경비</t>
  </si>
  <si>
    <t>업무추진비</t>
  </si>
  <si>
    <t>회의비</t>
  </si>
  <si>
    <t>여비</t>
  </si>
  <si>
    <t>수용비 및 수수료</t>
  </si>
  <si>
    <t>공공요금</t>
  </si>
  <si>
    <t>제세공과금</t>
  </si>
  <si>
    <t>차량비</t>
  </si>
  <si>
    <t>기타운영비</t>
  </si>
  <si>
    <t>재산조성비</t>
  </si>
  <si>
    <t>시설비</t>
  </si>
  <si>
    <t>자산취득비</t>
  </si>
  <si>
    <t>시설장비유지비</t>
  </si>
  <si>
    <t>생계비</t>
  </si>
  <si>
    <t>수용기관경비</t>
  </si>
  <si>
    <t>피복비</t>
  </si>
  <si>
    <t>연료비</t>
  </si>
  <si>
    <t>교육비</t>
  </si>
  <si>
    <t>학용품비</t>
  </si>
  <si>
    <t>도서구입비</t>
  </si>
  <si>
    <t>교통비</t>
  </si>
  <si>
    <t>수학여행비</t>
  </si>
  <si>
    <t>교복비</t>
  </si>
  <si>
    <t>기타교육비</t>
  </si>
  <si>
    <t>프로그램사업비</t>
  </si>
  <si>
    <t>의료재활사업비</t>
  </si>
  <si>
    <t>사회심리재활사업비</t>
  </si>
  <si>
    <t>자립지원P/G사업비</t>
  </si>
  <si>
    <t>정서개발사업비</t>
  </si>
  <si>
    <t>인지개발사업비</t>
  </si>
  <si>
    <t>사회성개발사업비</t>
  </si>
  <si>
    <t>후원홍보사업비</t>
  </si>
  <si>
    <t>환경개선사업비</t>
  </si>
  <si>
    <t>잡지출</t>
  </si>
  <si>
    <t>예비비 및 기타</t>
  </si>
  <si>
    <t>법인전입금</t>
    <phoneticPr fontId="28" type="noConversion"/>
  </si>
  <si>
    <t>법인전입금</t>
    <phoneticPr fontId="28" type="noConversion"/>
  </si>
  <si>
    <t>상담지원사업비</t>
    <phoneticPr fontId="28" type="noConversion"/>
  </si>
  <si>
    <t>간식 및 상품</t>
    <phoneticPr fontId="28" type="noConversion"/>
  </si>
  <si>
    <t>명절 프로그램(설, 추석)</t>
    <phoneticPr fontId="28" type="noConversion"/>
  </si>
  <si>
    <t>예비비</t>
    <phoneticPr fontId="28" type="noConversion"/>
  </si>
  <si>
    <t>반환금</t>
    <phoneticPr fontId="28" type="noConversion"/>
  </si>
  <si>
    <t>사회복지공동모금회 지정기탁사업 (소선나눔기금)</t>
  </si>
  <si>
    <t>강사상담비(피드백)</t>
  </si>
  <si>
    <t>입학지원금 반환 (대학 미입학 아동)</t>
  </si>
  <si>
    <t>2019년도 세입·세출 예산은</t>
    <phoneticPr fontId="28" type="noConversion"/>
  </si>
  <si>
    <t>세입·세출 과목의 존치는 원 단위까지 표시한다.</t>
    <phoneticPr fontId="28" type="noConversion"/>
  </si>
  <si>
    <t>법인전입금
(후원금)</t>
    <phoneticPr fontId="28" type="noConversion"/>
  </si>
  <si>
    <t>기타예금이자
수입</t>
    <phoneticPr fontId="28" type="noConversion"/>
  </si>
  <si>
    <t xml:space="preserve">제 4 조 </t>
    <phoneticPr fontId="28" type="noConversion"/>
  </si>
  <si>
    <t>입소비용수입</t>
    <phoneticPr fontId="28" type="noConversion"/>
  </si>
  <si>
    <t>1차추경예산
(A)</t>
    <phoneticPr fontId="28" type="noConversion"/>
  </si>
  <si>
    <t>2차추경예산
(B)</t>
    <phoneticPr fontId="28" type="noConversion"/>
  </si>
  <si>
    <t>서울보증보험영남본부 : 에어컨 구입</t>
    <phoneticPr fontId="28" type="noConversion"/>
  </si>
  <si>
    <t>미세먼지제로존 지원 : 공기청정기구입</t>
    <phoneticPr fontId="28" type="noConversion"/>
  </si>
  <si>
    <t>정서함양지원프로그램</t>
    <phoneticPr fontId="28" type="noConversion"/>
  </si>
  <si>
    <t>수소연료전지지원사업(운영비지원)</t>
    <phoneticPr fontId="28" type="noConversion"/>
  </si>
  <si>
    <t>1~8월 : 7,544,774</t>
    <phoneticPr fontId="28" type="noConversion"/>
  </si>
  <si>
    <t>위생원(3호봉)</t>
    <phoneticPr fontId="28" type="noConversion"/>
  </si>
  <si>
    <t>조리원(11호봉)</t>
    <phoneticPr fontId="28" type="noConversion"/>
  </si>
  <si>
    <t>X</t>
    <phoneticPr fontId="28" type="noConversion"/>
  </si>
  <si>
    <t>퇴직연금</t>
    <phoneticPr fontId="28" type="noConversion"/>
  </si>
  <si>
    <t>÷</t>
    <phoneticPr fontId="28" type="noConversion"/>
  </si>
  <si>
    <t>심성관리비</t>
    <phoneticPr fontId="28" type="noConversion"/>
  </si>
  <si>
    <t>3. 세출 예산 세부내역</t>
    <phoneticPr fontId="28" type="noConversion"/>
  </si>
  <si>
    <t>인건비</t>
    <phoneticPr fontId="28" type="noConversion"/>
  </si>
  <si>
    <t>퇴직연금 
및 퇴직연금</t>
    <phoneticPr fontId="28" type="noConversion"/>
  </si>
  <si>
    <t>아동복지협회비</t>
    <phoneticPr fontId="28" type="noConversion"/>
  </si>
  <si>
    <t>아동복지협회 특별회비</t>
    <phoneticPr fontId="28" type="noConversion"/>
  </si>
  <si>
    <t>직원 외부 워크샵 참가비</t>
    <phoneticPr fontId="28" type="noConversion"/>
  </si>
  <si>
    <t>시설장비유지비</t>
    <phoneticPr fontId="28" type="noConversion"/>
  </si>
  <si>
    <t>운영비</t>
    <phoneticPr fontId="28" type="noConversion"/>
  </si>
  <si>
    <t>생계비</t>
    <phoneticPr fontId="28" type="noConversion"/>
  </si>
  <si>
    <t>춘추계부식비</t>
    <phoneticPr fontId="28" type="noConversion"/>
  </si>
  <si>
    <t>월동김장비</t>
    <phoneticPr fontId="28" type="noConversion"/>
  </si>
  <si>
    <t>월동대책비</t>
    <phoneticPr fontId="28" type="noConversion"/>
  </si>
  <si>
    <t>특별위로금</t>
    <phoneticPr fontId="28" type="noConversion"/>
  </si>
  <si>
    <t>(설)</t>
    <phoneticPr fontId="28" type="noConversion"/>
  </si>
  <si>
    <t>(추석)</t>
    <phoneticPr fontId="28" type="noConversion"/>
  </si>
  <si>
    <t>연료비</t>
    <phoneticPr fontId="28" type="noConversion"/>
  </si>
  <si>
    <t>학용품비</t>
    <phoneticPr fontId="28" type="noConversion"/>
  </si>
  <si>
    <t>도서구입비</t>
    <phoneticPr fontId="28" type="noConversion"/>
  </si>
  <si>
    <t>교통비</t>
    <phoneticPr fontId="28" type="noConversion"/>
  </si>
  <si>
    <t>수학여행비</t>
    <phoneticPr fontId="28" type="noConversion"/>
  </si>
  <si>
    <t>교복비</t>
    <phoneticPr fontId="28" type="noConversion"/>
  </si>
  <si>
    <t>기타교육비</t>
    <phoneticPr fontId="28" type="noConversion"/>
  </si>
  <si>
    <t>입학지원금</t>
    <phoneticPr fontId="28" type="noConversion"/>
  </si>
  <si>
    <t>어린이집 특별활동비</t>
    <phoneticPr fontId="28" type="noConversion"/>
  </si>
  <si>
    <t xml:space="preserve">그 외 기타교육비 </t>
    <phoneticPr fontId="28" type="noConversion"/>
  </si>
  <si>
    <t>의료재활사업비</t>
    <phoneticPr fontId="28" type="noConversion"/>
  </si>
  <si>
    <t>사회심리치료 
재활사업비</t>
    <phoneticPr fontId="28" type="noConversion"/>
  </si>
  <si>
    <t>성격유형검사</t>
    <phoneticPr fontId="28" type="noConversion"/>
  </si>
  <si>
    <t>상담지원사업비</t>
    <phoneticPr fontId="28" type="noConversion"/>
  </si>
  <si>
    <t>자립지원사업비</t>
    <phoneticPr fontId="28" type="noConversion"/>
  </si>
  <si>
    <t>정서개발사업비</t>
    <phoneticPr fontId="28" type="noConversion"/>
  </si>
  <si>
    <t>윷놀이 등 게임 상품</t>
    <phoneticPr fontId="28" type="noConversion"/>
  </si>
  <si>
    <t>X</t>
    <phoneticPr fontId="28" type="noConversion"/>
  </si>
  <si>
    <t>인지개발사업비</t>
    <phoneticPr fontId="28" type="noConversion"/>
  </si>
  <si>
    <t>학습지</t>
    <phoneticPr fontId="28" type="noConversion"/>
  </si>
  <si>
    <t>아동별 과목 추가로 당초예산 대비 2,688,000원 증가</t>
    <phoneticPr fontId="28" type="noConversion"/>
  </si>
  <si>
    <t>체육활동 자부담
(스포츠바우처 헬스, 수영)</t>
    <phoneticPr fontId="28" type="noConversion"/>
  </si>
  <si>
    <t>사회성개발사업비</t>
    <phoneticPr fontId="28" type="noConversion"/>
  </si>
  <si>
    <t>레저문화행사 및 체육행사</t>
    <phoneticPr fontId="28" type="noConversion"/>
  </si>
  <si>
    <t>하계수련회</t>
    <phoneticPr fontId="28" type="noConversion"/>
  </si>
  <si>
    <t>성탄행사</t>
    <phoneticPr fontId="28" type="noConversion"/>
  </si>
  <si>
    <t>후원홍보사업비</t>
    <phoneticPr fontId="28" type="noConversion"/>
  </si>
  <si>
    <t>환경개선사업비</t>
    <phoneticPr fontId="28" type="noConversion"/>
  </si>
  <si>
    <t>시설 내·외부 환경개선</t>
    <phoneticPr fontId="28" type="noConversion"/>
  </si>
  <si>
    <t>반환금</t>
    <phoneticPr fontId="28" type="noConversion"/>
  </si>
  <si>
    <t>보조금 예금이자 반환</t>
    <phoneticPr fontId="28" type="noConversion"/>
  </si>
  <si>
    <t>퇴직연금</t>
    <phoneticPr fontId="28" type="noConversion"/>
  </si>
  <si>
    <t>1차추경예산
(A)</t>
    <phoneticPr fontId="28" type="noConversion"/>
  </si>
  <si>
    <t>2차추경예산
(B)</t>
    <phoneticPr fontId="28" type="noConversion"/>
  </si>
  <si>
    <t>새볕원 2019년도 제2차 추가경정 세입·세출 예산(안) 총괄</t>
    <phoneticPr fontId="28" type="noConversion"/>
  </si>
  <si>
    <t>새볕원 2019년도 제2차 추가경정 세입·세출 예산(안) 총칙</t>
    <phoneticPr fontId="28" type="noConversion"/>
  </si>
  <si>
    <t>새볕원 2019년도 제2차 추가경정 세입·세출 예산(안) 총칙은 다음과 같다.</t>
    <phoneticPr fontId="28" type="noConversion"/>
  </si>
  <si>
    <t>새볕원의 2019년도 제2차 추가경정 세입·세출 예산은 다음과 같다.</t>
    <phoneticPr fontId="28" type="noConversion"/>
  </si>
  <si>
    <t>9월~12월 예상 : 2,000,000원 이상</t>
    <phoneticPr fontId="28" type="noConversion"/>
  </si>
  <si>
    <t>8월말까지 169,000</t>
    <phoneticPr fontId="28" type="noConversion"/>
  </si>
  <si>
    <t>기본운영비(국)</t>
    <phoneticPr fontId="28" type="noConversion"/>
  </si>
  <si>
    <t>생계급여(국)</t>
    <phoneticPr fontId="28" type="noConversion"/>
  </si>
  <si>
    <t>252,812원 X 월보호아동수 X 12개월 X 90%</t>
    <phoneticPr fontId="28" type="noConversion"/>
  </si>
  <si>
    <t>특별위로금(국)</t>
    <phoneticPr fontId="28" type="noConversion"/>
  </si>
  <si>
    <t>설</t>
    <phoneticPr fontId="28" type="noConversion"/>
  </si>
  <si>
    <t>X</t>
    <phoneticPr fontId="28" type="noConversion"/>
  </si>
  <si>
    <t>추석</t>
    <phoneticPr fontId="28" type="noConversion"/>
  </si>
  <si>
    <t>월동대책비(국)</t>
    <phoneticPr fontId="28" type="noConversion"/>
  </si>
  <si>
    <t>종사자기본급</t>
    <phoneticPr fontId="28" type="noConversion"/>
  </si>
  <si>
    <t>사무국장(17호봉)</t>
    <phoneticPr fontId="28" type="noConversion"/>
  </si>
  <si>
    <t>사무국장(18호봉)</t>
    <phoneticPr fontId="28" type="noConversion"/>
  </si>
  <si>
    <t>선임생활지도원(16호봉)</t>
    <phoneticPr fontId="28" type="noConversion"/>
  </si>
  <si>
    <t>선임생활지도원(17호봉)</t>
    <phoneticPr fontId="28" type="noConversion"/>
  </si>
  <si>
    <t>자립전담요원(11호봉)</t>
    <phoneticPr fontId="28" type="noConversion"/>
  </si>
  <si>
    <t>자립전담요원(12호봉)</t>
    <phoneticPr fontId="28" type="noConversion"/>
  </si>
  <si>
    <t>보육사(10호봉)</t>
    <phoneticPr fontId="28" type="noConversion"/>
  </si>
  <si>
    <t>보육사(4호봉)</t>
    <phoneticPr fontId="28" type="noConversion"/>
  </si>
  <si>
    <t>보육사(5호봉)</t>
    <phoneticPr fontId="28" type="noConversion"/>
  </si>
  <si>
    <t>보육사(7호봉)</t>
    <phoneticPr fontId="28" type="noConversion"/>
  </si>
  <si>
    <t>보육사(8호봉)</t>
    <phoneticPr fontId="28" type="noConversion"/>
  </si>
  <si>
    <t>보육사(1호봉)</t>
    <phoneticPr fontId="28" type="noConversion"/>
  </si>
  <si>
    <t>보육사(중도퇴사)</t>
    <phoneticPr fontId="28" type="noConversion"/>
  </si>
  <si>
    <t>보육사(2호봉)</t>
    <phoneticPr fontId="28" type="noConversion"/>
  </si>
  <si>
    <t>보육사(2호봉/중도입사)</t>
    <phoneticPr fontId="28" type="noConversion"/>
  </si>
  <si>
    <t>보육사(3호봉)</t>
    <phoneticPr fontId="28" type="noConversion"/>
  </si>
  <si>
    <t>보육사(6호봉)</t>
    <phoneticPr fontId="28" type="noConversion"/>
  </si>
  <si>
    <t>위생원(2호봉)</t>
    <phoneticPr fontId="28" type="noConversion"/>
  </si>
  <si>
    <t>간호조무사(15호봉)</t>
    <phoneticPr fontId="28" type="noConversion"/>
  </si>
  <si>
    <t>기사(4호봉)</t>
    <phoneticPr fontId="28" type="noConversion"/>
  </si>
  <si>
    <t>명절수당</t>
    <phoneticPr fontId="28" type="noConversion"/>
  </si>
  <si>
    <t>설 명절수당</t>
    <phoneticPr fontId="28" type="noConversion"/>
  </si>
  <si>
    <t>추석 명절수당</t>
    <phoneticPr fontId="28" type="noConversion"/>
  </si>
  <si>
    <t>X</t>
    <phoneticPr fontId="28" type="noConversion"/>
  </si>
  <si>
    <t>시간외수당</t>
    <phoneticPr fontId="28" type="noConversion"/>
  </si>
  <si>
    <t>사무국장</t>
    <phoneticPr fontId="28" type="noConversion"/>
  </si>
  <si>
    <t>÷ 209  X 1.5</t>
    <phoneticPr fontId="28" type="noConversion"/>
  </si>
  <si>
    <t>X 20</t>
    <phoneticPr fontId="28" type="noConversion"/>
  </si>
  <si>
    <t>선임생활지도원</t>
    <phoneticPr fontId="28" type="noConversion"/>
  </si>
  <si>
    <t>X 40</t>
    <phoneticPr fontId="28" type="noConversion"/>
  </si>
  <si>
    <t>자립전담요원</t>
    <phoneticPr fontId="28" type="noConversion"/>
  </si>
  <si>
    <t>보육사</t>
    <phoneticPr fontId="28" type="noConversion"/>
  </si>
  <si>
    <t>보육사</t>
    <phoneticPr fontId="28" type="noConversion"/>
  </si>
  <si>
    <t>÷ 209  X 1.5</t>
    <phoneticPr fontId="28" type="noConversion"/>
  </si>
  <si>
    <t>X 40</t>
    <phoneticPr fontId="28" type="noConversion"/>
  </si>
  <si>
    <t>위생원</t>
    <phoneticPr fontId="28" type="noConversion"/>
  </si>
  <si>
    <t>X 20</t>
    <phoneticPr fontId="28" type="noConversion"/>
  </si>
  <si>
    <t>조리원</t>
    <phoneticPr fontId="28" type="noConversion"/>
  </si>
  <si>
    <t>간호조무사</t>
    <phoneticPr fontId="28" type="noConversion"/>
  </si>
  <si>
    <t>가족수당</t>
    <phoneticPr fontId="28" type="noConversion"/>
  </si>
  <si>
    <t>(부2 모2 배우자4 첫째자녀2 둘째자녀6 셋째자녀10)</t>
    <phoneticPr fontId="28" type="noConversion"/>
  </si>
  <si>
    <t>사무국장</t>
    <phoneticPr fontId="28" type="noConversion"/>
  </si>
  <si>
    <t>자립전담요원</t>
    <phoneticPr fontId="28" type="noConversion"/>
  </si>
  <si>
    <t>보육사(중도퇴사)</t>
    <phoneticPr fontId="28" type="noConversion"/>
  </si>
  <si>
    <t>보육사(중도입사)</t>
    <phoneticPr fontId="28" type="noConversion"/>
  </si>
  <si>
    <t xml:space="preserve">기사 </t>
    <phoneticPr fontId="28" type="noConversion"/>
  </si>
  <si>
    <t>국민연금</t>
    <phoneticPr fontId="28" type="noConversion"/>
  </si>
  <si>
    <t>%</t>
    <phoneticPr fontId="28" type="noConversion"/>
  </si>
  <si>
    <t>장기요양보험</t>
    <phoneticPr fontId="28" type="noConversion"/>
  </si>
  <si>
    <t>부식비</t>
    <phoneticPr fontId="28" type="noConversion"/>
  </si>
  <si>
    <t>월보호아동수</t>
    <phoneticPr fontId="28" type="noConversion"/>
  </si>
  <si>
    <t>피복비</t>
    <phoneticPr fontId="28" type="noConversion"/>
  </si>
  <si>
    <t>공공요금</t>
    <phoneticPr fontId="28" type="noConversion"/>
  </si>
  <si>
    <t>난방비</t>
    <phoneticPr fontId="28" type="noConversion"/>
  </si>
  <si>
    <t>월보호아동수  X  210,000원  ÷  6개월</t>
    <phoneticPr fontId="28" type="noConversion"/>
  </si>
  <si>
    <t>심성관리비</t>
    <phoneticPr fontId="28" type="noConversion"/>
  </si>
  <si>
    <t>미취학아동</t>
    <phoneticPr fontId="28" type="noConversion"/>
  </si>
  <si>
    <t>초등학생</t>
    <phoneticPr fontId="28" type="noConversion"/>
  </si>
  <si>
    <t>중학생</t>
    <phoneticPr fontId="28" type="noConversion"/>
  </si>
  <si>
    <t>고등학생</t>
    <phoneticPr fontId="28" type="noConversion"/>
  </si>
  <si>
    <t>간식비</t>
    <phoneticPr fontId="28" type="noConversion"/>
  </si>
  <si>
    <t>하계수련비</t>
    <phoneticPr fontId="28" type="noConversion"/>
  </si>
  <si>
    <t>수학여행경비</t>
    <phoneticPr fontId="28" type="noConversion"/>
  </si>
  <si>
    <t>예능교육비</t>
    <phoneticPr fontId="28" type="noConversion"/>
  </si>
  <si>
    <t>입학지원금</t>
    <phoneticPr fontId="28" type="noConversion"/>
  </si>
  <si>
    <t>체육행사지원비</t>
    <phoneticPr fontId="28" type="noConversion"/>
  </si>
  <si>
    <t>36개월~초등학생</t>
    <phoneticPr fontId="28" type="noConversion"/>
  </si>
  <si>
    <t>중학생 이상</t>
    <phoneticPr fontId="28" type="noConversion"/>
  </si>
  <si>
    <t>춘추계부식비</t>
    <phoneticPr fontId="28" type="noConversion"/>
  </si>
  <si>
    <t>월동김장비</t>
    <phoneticPr fontId="28" type="noConversion"/>
  </si>
  <si>
    <t>생계급여비</t>
    <phoneticPr fontId="28" type="noConversion"/>
  </si>
  <si>
    <t>252,812원 X 월보호아동수 X 12개월 X 10%</t>
    <phoneticPr fontId="28" type="noConversion"/>
  </si>
  <si>
    <t>특별위로금</t>
    <phoneticPr fontId="28" type="noConversion"/>
  </si>
  <si>
    <t>설</t>
    <phoneticPr fontId="28" type="noConversion"/>
  </si>
  <si>
    <t>추석</t>
    <phoneticPr fontId="28" type="noConversion"/>
  </si>
  <si>
    <t>월동대책비</t>
    <phoneticPr fontId="28" type="noConversion"/>
  </si>
  <si>
    <t>운영비</t>
    <phoneticPr fontId="28" type="noConversion"/>
  </si>
  <si>
    <t>지정후원(에어컨구입)</t>
    <phoneticPr fontId="28" type="noConversion"/>
  </si>
  <si>
    <t>지정후원(공기청정기구입)</t>
    <phoneticPr fontId="28" type="noConversion"/>
  </si>
  <si>
    <t>우수관교체</t>
    <phoneticPr fontId="28" type="noConversion"/>
  </si>
  <si>
    <t>전기안전관리비</t>
    <phoneticPr fontId="28" type="noConversion"/>
  </si>
  <si>
    <t>소방시설관리비</t>
    <phoneticPr fontId="28" type="noConversion"/>
  </si>
  <si>
    <t>기타 시설장비유지관리비</t>
    <phoneticPr fontId="28" type="noConversion"/>
  </si>
  <si>
    <t>직업체험프로그램</t>
    <phoneticPr fontId="28" type="noConversion"/>
  </si>
  <si>
    <t>홈커밍데이프로그램</t>
    <phoneticPr fontId="28" type="noConversion"/>
  </si>
  <si>
    <t>사회복지공동모금회(소선나눔기금 지정기탁사업)</t>
    <phoneticPr fontId="28" type="noConversion"/>
  </si>
  <si>
    <t>복사기임대료</t>
    <phoneticPr fontId="28" type="noConversion"/>
  </si>
  <si>
    <t>정수기 2대 임대료</t>
    <phoneticPr fontId="28" type="noConversion"/>
  </si>
  <si>
    <t>공기청정기 1대 임대료</t>
    <phoneticPr fontId="28" type="noConversion"/>
  </si>
  <si>
    <t>사무용품</t>
    <phoneticPr fontId="28" type="noConversion"/>
  </si>
  <si>
    <t>기타 생활용품 외</t>
    <phoneticPr fontId="28" type="noConversion"/>
  </si>
  <si>
    <t>직원 내부교육 강사비</t>
    <phoneticPr fontId="28" type="noConversion"/>
  </si>
  <si>
    <t>직원 외부기관 교육 참가비</t>
    <phoneticPr fontId="28" type="noConversion"/>
  </si>
  <si>
    <t>직원 연수</t>
    <phoneticPr fontId="28" type="noConversion"/>
  </si>
  <si>
    <t>소방관리자 보수교육</t>
    <phoneticPr fontId="28" type="noConversion"/>
  </si>
  <si>
    <t>운영위원회 명절선물</t>
    <phoneticPr fontId="28" type="noConversion"/>
  </si>
  <si>
    <t>기타운영비 (차, 종이컵 외)</t>
    <phoneticPr fontId="28" type="noConversion"/>
  </si>
  <si>
    <t>영주국립산림치유원</t>
    <phoneticPr fontId="28" type="noConversion"/>
  </si>
  <si>
    <t>후원 행사감사패 제작</t>
    <phoneticPr fontId="28" type="noConversion"/>
  </si>
  <si>
    <t>후원단체 및 자원봉사단체  
행사, 모임 참석 감사패</t>
    <phoneticPr fontId="28" type="noConversion"/>
  </si>
  <si>
    <t>소식지 제작비</t>
    <phoneticPr fontId="28" type="noConversion"/>
  </si>
  <si>
    <t>구세군 난방비</t>
    <phoneticPr fontId="28" type="noConversion"/>
  </si>
  <si>
    <t>나누리봉사단(점심식사)</t>
    <phoneticPr fontId="28" type="noConversion"/>
  </si>
  <si>
    <t>아동장학금</t>
    <phoneticPr fontId="28" type="noConversion"/>
  </si>
  <si>
    <t>3명</t>
    <phoneticPr fontId="28" type="noConversion"/>
  </si>
  <si>
    <t>복권기금(방학프로그램)</t>
    <phoneticPr fontId="28" type="noConversion"/>
  </si>
  <si>
    <t xml:space="preserve"> 법인전입금(후원금) : 수소연료전지사업 난방연료비 </t>
    <phoneticPr fontId="28" type="noConversion"/>
  </si>
  <si>
    <t xml:space="preserve">구세군 </t>
    <phoneticPr fontId="28" type="noConversion"/>
  </si>
  <si>
    <t>어린이날 선물 (지정후원)</t>
    <phoneticPr fontId="28" type="noConversion"/>
  </si>
  <si>
    <t>아동정서함양지원P/G</t>
    <phoneticPr fontId="28" type="noConversion"/>
  </si>
  <si>
    <t>생일 축하케이크 및 선물</t>
    <phoneticPr fontId="28" type="noConversion"/>
  </si>
  <si>
    <t>지정후원(방학프로그램)</t>
    <phoneticPr fontId="28" type="noConversion"/>
  </si>
  <si>
    <t>심야전기</t>
    <phoneticPr fontId="28" type="noConversion"/>
  </si>
  <si>
    <t>도시가스</t>
    <phoneticPr fontId="28" type="noConversion"/>
  </si>
  <si>
    <t>지하온풍기 난방유</t>
    <phoneticPr fontId="28" type="noConversion"/>
  </si>
  <si>
    <t>공기청정기 (법인전입금)</t>
    <phoneticPr fontId="28" type="noConversion"/>
  </si>
  <si>
    <t>아동치료재활지원사업</t>
    <phoneticPr fontId="28" type="noConversion"/>
  </si>
  <si>
    <t>사례상담</t>
    <phoneticPr fontId="28" type="noConversion"/>
  </si>
  <si>
    <t>보호아동 간담회 (다과비)</t>
    <phoneticPr fontId="28" type="noConversion"/>
  </si>
  <si>
    <t>프로그램사업비</t>
    <phoneticPr fontId="28" type="noConversion"/>
  </si>
  <si>
    <t>일용잡급</t>
    <phoneticPr fontId="28" type="noConversion"/>
  </si>
  <si>
    <t>회의비</t>
    <phoneticPr fontId="28" type="noConversion"/>
  </si>
  <si>
    <r>
      <t>수용기관경비</t>
    </r>
    <r>
      <rPr>
        <sz val="9"/>
        <color indexed="8"/>
        <rFont val="Arial"/>
        <family val="2"/>
      </rPr>
      <t/>
    </r>
    <phoneticPr fontId="28" type="noConversion"/>
  </si>
  <si>
    <t>교육비</t>
    <phoneticPr fontId="28" type="noConversion"/>
  </si>
  <si>
    <t>예비비</t>
  </si>
  <si>
    <t>지정후원금반환(방학프로그램 1명 미참석) 258,000원 + 기타 512원</t>
    <phoneticPr fontId="28" type="noConversion"/>
  </si>
  <si>
    <t>대구상공회의소 학습장애아동 지원지정기탁사업(자부담)</t>
    <phoneticPr fontId="28" type="noConversion"/>
  </si>
  <si>
    <t>여행배상책임공제</t>
    <phoneticPr fontId="28" type="noConversion"/>
  </si>
  <si>
    <t>복지시설손해보상책임공제</t>
    <phoneticPr fontId="28" type="noConversion"/>
  </si>
  <si>
    <t>신원(재정)보장공제</t>
    <phoneticPr fontId="28" type="noConversion"/>
  </si>
  <si>
    <t>가스사고배상책임보험</t>
    <phoneticPr fontId="28" type="noConversion"/>
  </si>
  <si>
    <t>자동차보험</t>
    <phoneticPr fontId="28" type="noConversion"/>
  </si>
  <si>
    <t>한국(대구)사회복지협의회비</t>
    <phoneticPr fontId="28" type="noConversion"/>
  </si>
  <si>
    <t>장학금(지정후원금)</t>
    <phoneticPr fontId="28" type="noConversion"/>
  </si>
  <si>
    <t>아동복지협회비(2018년 4분기)</t>
    <phoneticPr fontId="28" type="noConversion"/>
  </si>
  <si>
    <t>보호아동 연고자 간담회 (다과비)</t>
    <phoneticPr fontId="28" type="noConversion"/>
  </si>
  <si>
    <t>공동모금회 2018년 기획사업「동행」프로그램 (지원)</t>
    <phoneticPr fontId="28" type="noConversion"/>
  </si>
  <si>
    <t>공동모금회 2018년 기획사업「동행」프로그램 (자부담)</t>
    <phoneticPr fontId="28" type="noConversion"/>
  </si>
  <si>
    <t>주부식비</t>
    <phoneticPr fontId="28" type="noConversion"/>
  </si>
  <si>
    <t>간식비</t>
    <phoneticPr fontId="28" type="noConversion"/>
  </si>
  <si>
    <t>입소자부담금 추가</t>
    <phoneticPr fontId="28" type="noConversion"/>
  </si>
  <si>
    <t>법인전입금 감액(공기청정기구입)</t>
    <phoneticPr fontId="28" type="noConversion"/>
  </si>
  <si>
    <t>금 786,100,000원</t>
    <phoneticPr fontId="28" type="noConversion"/>
  </si>
  <si>
    <t>(칠억팔천육백십만원) 이다.</t>
    <phoneticPr fontId="28" type="noConversion"/>
  </si>
  <si>
    <t>구구스영남(어린이날선물)</t>
    <phoneticPr fontId="28" type="noConversion"/>
  </si>
  <si>
    <t>코스모스로타리클럽</t>
    <phoneticPr fontId="28" type="noConversion"/>
  </si>
  <si>
    <t>1,200,000원감액</t>
    <phoneticPr fontId="28" type="noConversion"/>
  </si>
  <si>
    <t>생계급여 미지원 아동 (주부식비 150,000원 X 12개월 -&gt; 피복비 추가)</t>
    <phoneticPr fontId="28" type="noConversion"/>
  </si>
  <si>
    <t>4명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</si>
</sst>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-* #,##0_-;\-* #,##0_-;_-* &quot;-&quot;_-;_-@_-"/>
    <numFmt numFmtId="176" formatCode="0_ "/>
    <numFmt numFmtId="177" formatCode="#,##0_ "/>
    <numFmt numFmtId="178" formatCode="#,##0&quot;원&quot;"/>
    <numFmt numFmtId="179" formatCode="#,##0&quot;명&quot;"/>
    <numFmt numFmtId="180" formatCode="#,##0&quot;개월&quot;"/>
    <numFmt numFmtId="181" formatCode="#,##0.0_ "/>
    <numFmt numFmtId="182" formatCode="#,##0.000_ "/>
    <numFmt numFmtId="183" formatCode="#,##0&quot;월&quot;"/>
    <numFmt numFmtId="184" formatCode="#,##0&quot;회&quot;"/>
    <numFmt numFmtId="185" formatCode="#,##0&quot;건&quot;"/>
    <numFmt numFmtId="186" formatCode="##,#00&quot;개월&quot;"/>
    <numFmt numFmtId="187" formatCode="#,##0&quot;일&quot;"/>
    <numFmt numFmtId="188" formatCode="&quot;금&quot;#,##0&quot;원&quot;"/>
    <numFmt numFmtId="189" formatCode="[DBNum4]\(&quot;금&quot;[$-412]General&quot;원&quot;\)&quot;이&quot;&quot;다&quot;&quot;.&quot;"/>
    <numFmt numFmtId="190" formatCode="_-* #,##0_-;\-* #,##0_-;_-* &quot;-&quot;??_-;_-@_-"/>
    <numFmt numFmtId="191" formatCode="#,##0&quot;분기&quot;"/>
    <numFmt numFmtId="192" formatCode="0_);[Red]\(0\)"/>
    <numFmt numFmtId="193" formatCode="#,##0.00_ "/>
    <numFmt numFmtId="194" formatCode="#,##0&quot;팀&quot;"/>
  </numFmts>
  <fonts count="59" x14ac:knownFonts="1">
    <font>
      <sz val="11"/>
      <name val="돋움"/>
      <family val="3"/>
      <charset val="129"/>
    </font>
    <font>
      <sz val="12"/>
      <name val="굴림체"/>
      <family val="3"/>
      <charset val="129"/>
    </font>
    <font>
      <sz val="12"/>
      <name val="굴림"/>
      <family val="3"/>
      <charset val="129"/>
    </font>
    <font>
      <b/>
      <sz val="10"/>
      <color indexed="54"/>
      <name val="굴림체"/>
      <family val="3"/>
      <charset val="129"/>
    </font>
    <font>
      <b/>
      <sz val="12"/>
      <color indexed="54"/>
      <name val="굴림"/>
      <family val="3"/>
      <charset val="129"/>
    </font>
    <font>
      <b/>
      <sz val="12"/>
      <color indexed="54"/>
      <name val="굴림체"/>
      <family val="3"/>
      <charset val="129"/>
    </font>
    <font>
      <b/>
      <sz val="12"/>
      <color indexed="10"/>
      <name val="굴림체"/>
      <family val="3"/>
      <charset val="129"/>
    </font>
    <font>
      <sz val="12"/>
      <color indexed="12"/>
      <name val="굴림체"/>
      <family val="3"/>
      <charset val="129"/>
    </font>
    <font>
      <sz val="12"/>
      <color indexed="12"/>
      <name val="굴림"/>
      <family val="3"/>
      <charset val="129"/>
    </font>
    <font>
      <b/>
      <sz val="12"/>
      <color indexed="12"/>
      <name val="굴림체"/>
      <family val="3"/>
      <charset val="129"/>
    </font>
    <font>
      <b/>
      <sz val="11"/>
      <name val="돋움"/>
      <family val="3"/>
      <charset val="129"/>
    </font>
    <font>
      <sz val="11"/>
      <name val="Arial"/>
      <family val="2"/>
    </font>
    <font>
      <sz val="11"/>
      <name val="굴림체"/>
      <family val="3"/>
      <charset val="129"/>
    </font>
    <font>
      <sz val="11"/>
      <color indexed="10"/>
      <name val="Arial"/>
      <family val="2"/>
    </font>
    <font>
      <sz val="10"/>
      <name val="돋움"/>
      <family val="3"/>
      <charset val="129"/>
    </font>
    <font>
      <sz val="10"/>
      <name val="Arial"/>
      <family val="2"/>
    </font>
    <font>
      <sz val="10"/>
      <name val="굴림체"/>
      <family val="3"/>
      <charset val="129"/>
    </font>
    <font>
      <sz val="8"/>
      <name val="Arial"/>
      <family val="2"/>
    </font>
    <font>
      <b/>
      <sz val="12"/>
      <name val="굴림체"/>
      <family val="3"/>
      <charset val="129"/>
    </font>
    <font>
      <sz val="8"/>
      <name val="굴림체"/>
      <family val="3"/>
      <charset val="129"/>
    </font>
    <font>
      <sz val="13"/>
      <name val="Arial"/>
      <family val="2"/>
    </font>
    <font>
      <sz val="12"/>
      <name val="Arial"/>
      <family val="2"/>
    </font>
    <font>
      <sz val="15"/>
      <name val="굴림체"/>
      <family val="3"/>
      <charset val="129"/>
    </font>
    <font>
      <sz val="13"/>
      <name val="굴림체"/>
      <family val="3"/>
      <charset val="129"/>
    </font>
    <font>
      <sz val="12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1"/>
      <color indexed="8"/>
      <name val="굴림체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theme="1"/>
      <name val="굴림체"/>
      <family val="3"/>
      <charset val="129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name val="바탕체"/>
      <family val="1"/>
      <charset val="129"/>
    </font>
    <font>
      <sz val="14"/>
      <name val="바탕체"/>
      <family val="1"/>
      <charset val="129"/>
    </font>
    <font>
      <sz val="12"/>
      <name val="바탕체"/>
      <family val="1"/>
      <charset val="129"/>
    </font>
    <font>
      <sz val="12"/>
      <color indexed="8"/>
      <name val="바탕체"/>
      <family val="1"/>
      <charset val="129"/>
    </font>
    <font>
      <sz val="11"/>
      <name val="굴림"/>
      <family val="3"/>
      <charset val="129"/>
    </font>
    <font>
      <sz val="10"/>
      <name val="굴림"/>
      <family val="3"/>
      <charset val="129"/>
    </font>
    <font>
      <b/>
      <sz val="12"/>
      <name val="굴림"/>
      <family val="3"/>
      <charset val="129"/>
    </font>
    <font>
      <sz val="11"/>
      <color theme="1"/>
      <name val="굴림"/>
      <family val="3"/>
      <charset val="129"/>
    </font>
    <font>
      <b/>
      <sz val="11"/>
      <color theme="1"/>
      <name val="굴림"/>
      <family val="3"/>
      <charset val="129"/>
    </font>
    <font>
      <sz val="14"/>
      <name val="굴림"/>
      <family val="3"/>
      <charset val="129"/>
    </font>
    <font>
      <sz val="14"/>
      <color indexed="8"/>
      <name val="굴림"/>
      <family val="3"/>
      <charset val="129"/>
    </font>
    <font>
      <sz val="11"/>
      <color rgb="FF000000"/>
      <name val="맑은 고딕"/>
      <family val="3"/>
      <charset val="129"/>
    </font>
    <font>
      <b/>
      <sz val="11"/>
      <name val="굴림"/>
      <family val="3"/>
      <charset val="129"/>
    </font>
    <font>
      <b/>
      <sz val="11"/>
      <name val="Arial"/>
      <family val="2"/>
    </font>
    <font>
      <b/>
      <sz val="11"/>
      <name val="굴림체"/>
      <family val="3"/>
      <charset val="129"/>
    </font>
    <font>
      <b/>
      <sz val="25"/>
      <name val="굴림체"/>
      <family val="3"/>
      <charset val="129"/>
    </font>
    <font>
      <b/>
      <sz val="22"/>
      <color indexed="8"/>
      <name val="굴림"/>
      <family val="3"/>
      <charset val="129"/>
    </font>
    <font>
      <b/>
      <sz val="22"/>
      <name val="굴림체"/>
      <family val="3"/>
      <charset val="129"/>
    </font>
    <font>
      <b/>
      <sz val="14"/>
      <name val="굴림체"/>
      <family val="3"/>
      <charset val="129"/>
    </font>
    <font>
      <sz val="11"/>
      <color rgb="FFFF0000"/>
      <name val="굴림"/>
      <family val="3"/>
      <charset val="129"/>
    </font>
    <font>
      <sz val="10"/>
      <color rgb="FFFF0000"/>
      <name val="굴림"/>
      <family val="3"/>
      <charset val="129"/>
    </font>
    <font>
      <b/>
      <sz val="11"/>
      <color rgb="FFFF0000"/>
      <name val="굴림"/>
      <family val="3"/>
      <charset val="129"/>
    </font>
    <font>
      <sz val="9"/>
      <color rgb="FFFF0000"/>
      <name val="굴림"/>
      <family val="3"/>
      <charset val="129"/>
    </font>
    <font>
      <sz val="11"/>
      <color rgb="FFFF0000"/>
      <name val="돋움"/>
      <family val="3"/>
      <charset val="129"/>
    </font>
    <font>
      <sz val="11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9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41" fontId="45" fillId="0" borderId="0">
      <alignment vertical="center"/>
    </xf>
  </cellStyleXfs>
  <cellXfs count="1116">
    <xf numFmtId="0" fontId="0" fillId="0" borderId="0" xfId="0">
      <alignment vertical="center"/>
    </xf>
    <xf numFmtId="41" fontId="1" fillId="0" borderId="0" xfId="2" applyFont="1">
      <alignment vertical="center"/>
    </xf>
    <xf numFmtId="41" fontId="2" fillId="0" borderId="0" xfId="2" applyFont="1">
      <alignment vertical="center"/>
    </xf>
    <xf numFmtId="58" fontId="1" fillId="0" borderId="0" xfId="2" applyNumberFormat="1" applyFont="1">
      <alignment vertical="center"/>
    </xf>
    <xf numFmtId="41" fontId="1" fillId="0" borderId="0" xfId="2" applyFont="1" applyAlignment="1">
      <alignment horizontal="center" vertical="center"/>
    </xf>
    <xf numFmtId="41" fontId="3" fillId="2" borderId="1" xfId="2" applyFont="1" applyFill="1" applyBorder="1" applyAlignment="1">
      <alignment horizontal="center" vertical="center" wrapText="1"/>
    </xf>
    <xf numFmtId="41" fontId="4" fillId="2" borderId="1" xfId="2" applyFont="1" applyFill="1" applyBorder="1" applyAlignment="1">
      <alignment horizontal="center" vertical="center" wrapText="1"/>
    </xf>
    <xf numFmtId="41" fontId="5" fillId="2" borderId="1" xfId="2" applyFont="1" applyFill="1" applyBorder="1" applyAlignment="1">
      <alignment horizontal="center" vertical="center" wrapText="1"/>
    </xf>
    <xf numFmtId="58" fontId="5" fillId="2" borderId="1" xfId="2" applyNumberFormat="1" applyFont="1" applyFill="1" applyBorder="1" applyAlignment="1">
      <alignment horizontal="center" vertical="center" wrapText="1"/>
    </xf>
    <xf numFmtId="41" fontId="1" fillId="0" borderId="1" xfId="2" applyFont="1" applyFill="1" applyBorder="1" applyAlignment="1">
      <alignment horizontal="center" vertical="center"/>
    </xf>
    <xf numFmtId="41" fontId="5" fillId="0" borderId="1" xfId="2" applyFont="1" applyFill="1" applyBorder="1" applyAlignment="1">
      <alignment horizontal="center" vertical="center" wrapText="1"/>
    </xf>
    <xf numFmtId="41" fontId="6" fillId="0" borderId="2" xfId="2" applyFont="1" applyFill="1" applyBorder="1" applyAlignment="1">
      <alignment horizontal="center" vertical="center" wrapText="1"/>
    </xf>
    <xf numFmtId="41" fontId="1" fillId="0" borderId="1" xfId="2" applyFont="1" applyBorder="1" applyAlignment="1">
      <alignment horizontal="center" vertical="center" wrapText="1"/>
    </xf>
    <xf numFmtId="41" fontId="2" fillId="3" borderId="1" xfId="2" applyFont="1" applyFill="1" applyBorder="1" applyAlignment="1">
      <alignment horizontal="left" vertical="center" wrapText="1"/>
    </xf>
    <xf numFmtId="41" fontId="1" fillId="3" borderId="1" xfId="2" applyFont="1" applyFill="1" applyBorder="1" applyAlignment="1">
      <alignment horizontal="center" vertical="center" wrapText="1"/>
    </xf>
    <xf numFmtId="58" fontId="1" fillId="3" borderId="1" xfId="2" applyNumberFormat="1" applyFont="1" applyFill="1" applyBorder="1" applyAlignment="1">
      <alignment horizontal="center" vertical="center" wrapText="1"/>
    </xf>
    <xf numFmtId="41" fontId="1" fillId="0" borderId="1" xfId="2" applyFont="1" applyBorder="1" applyAlignment="1">
      <alignment horizontal="center" vertical="center"/>
    </xf>
    <xf numFmtId="41" fontId="1" fillId="0" borderId="2" xfId="2" applyFont="1" applyBorder="1" applyAlignment="1">
      <alignment horizontal="center" vertical="center"/>
    </xf>
    <xf numFmtId="41" fontId="2" fillId="8" borderId="1" xfId="2" applyFont="1" applyFill="1" applyBorder="1" applyAlignment="1">
      <alignment horizontal="left" vertical="center" wrapText="1"/>
    </xf>
    <xf numFmtId="41" fontId="1" fillId="8" borderId="1" xfId="2" applyFont="1" applyFill="1" applyBorder="1" applyAlignment="1">
      <alignment horizontal="center" vertical="center" wrapText="1"/>
    </xf>
    <xf numFmtId="58" fontId="1" fillId="8" borderId="1" xfId="2" applyNumberFormat="1" applyFont="1" applyFill="1" applyBorder="1" applyAlignment="1">
      <alignment horizontal="center" vertical="center" wrapText="1"/>
    </xf>
    <xf numFmtId="41" fontId="2" fillId="6" borderId="1" xfId="2" applyFont="1" applyFill="1" applyBorder="1" applyAlignment="1">
      <alignment horizontal="left" vertical="center" wrapText="1"/>
    </xf>
    <xf numFmtId="41" fontId="1" fillId="6" borderId="1" xfId="2" applyFont="1" applyFill="1" applyBorder="1" applyAlignment="1">
      <alignment horizontal="center" vertical="center" wrapText="1"/>
    </xf>
    <xf numFmtId="58" fontId="1" fillId="6" borderId="1" xfId="2" applyNumberFormat="1" applyFont="1" applyFill="1" applyBorder="1" applyAlignment="1">
      <alignment horizontal="center" vertical="center" wrapText="1"/>
    </xf>
    <xf numFmtId="41" fontId="7" fillId="0" borderId="1" xfId="2" applyFont="1" applyBorder="1" applyAlignment="1">
      <alignment horizontal="center" vertical="center" wrapText="1"/>
    </xf>
    <xf numFmtId="41" fontId="8" fillId="7" borderId="1" xfId="2" applyFont="1" applyFill="1" applyBorder="1" applyAlignment="1">
      <alignment horizontal="left" vertical="center" wrapText="1"/>
    </xf>
    <xf numFmtId="41" fontId="1" fillId="7" borderId="1" xfId="2" applyFont="1" applyFill="1" applyBorder="1" applyAlignment="1">
      <alignment horizontal="center" vertical="center" wrapText="1"/>
    </xf>
    <xf numFmtId="41" fontId="2" fillId="7" borderId="1" xfId="2" applyFont="1" applyFill="1" applyBorder="1" applyAlignment="1">
      <alignment horizontal="left" vertical="center" wrapText="1"/>
    </xf>
    <xf numFmtId="58" fontId="1" fillId="7" borderId="1" xfId="2" applyNumberFormat="1" applyFont="1" applyFill="1" applyBorder="1" applyAlignment="1">
      <alignment horizontal="center" vertical="center" wrapText="1"/>
    </xf>
    <xf numFmtId="41" fontId="1" fillId="0" borderId="0" xfId="2" applyFont="1" applyBorder="1">
      <alignment vertical="center"/>
    </xf>
    <xf numFmtId="41" fontId="2" fillId="0" borderId="0" xfId="2" applyFont="1" applyBorder="1">
      <alignment vertical="center"/>
    </xf>
    <xf numFmtId="58" fontId="1" fillId="0" borderId="0" xfId="2" applyNumberFormat="1" applyFont="1" applyBorder="1">
      <alignment vertical="center"/>
    </xf>
    <xf numFmtId="41" fontId="1" fillId="0" borderId="0" xfId="2" applyFont="1" applyBorder="1" applyAlignment="1">
      <alignment horizontal="center" vertical="center"/>
    </xf>
    <xf numFmtId="41" fontId="1" fillId="0" borderId="3" xfId="2" applyFont="1" applyFill="1" applyBorder="1" applyAlignment="1">
      <alignment horizontal="center" vertical="center"/>
    </xf>
    <xf numFmtId="41" fontId="6" fillId="0" borderId="1" xfId="2" applyFont="1" applyBorder="1" applyAlignment="1">
      <alignment horizontal="center" vertical="center"/>
    </xf>
    <xf numFmtId="41" fontId="1" fillId="0" borderId="4" xfId="2" applyFont="1" applyBorder="1" applyAlignment="1">
      <alignment horizontal="center" vertical="center"/>
    </xf>
    <xf numFmtId="41" fontId="1" fillId="0" borderId="5" xfId="2" applyFont="1" applyFill="1" applyBorder="1" applyAlignment="1">
      <alignment horizontal="center" vertical="center"/>
    </xf>
    <xf numFmtId="41" fontId="5" fillId="0" borderId="6" xfId="2" applyFont="1" applyFill="1" applyBorder="1" applyAlignment="1">
      <alignment horizontal="center" vertical="center" wrapText="1"/>
    </xf>
    <xf numFmtId="41" fontId="9" fillId="0" borderId="6" xfId="2" applyFont="1" applyBorder="1" applyAlignment="1">
      <alignment horizontal="center" vertical="center"/>
    </xf>
    <xf numFmtId="41" fontId="1" fillId="0" borderId="7" xfId="2" applyFont="1" applyBorder="1" applyAlignment="1">
      <alignment horizontal="center" vertical="center"/>
    </xf>
    <xf numFmtId="41" fontId="1" fillId="0" borderId="3" xfId="2" applyFont="1" applyBorder="1" applyAlignment="1">
      <alignment horizontal="center" vertical="center"/>
    </xf>
    <xf numFmtId="41" fontId="1" fillId="7" borderId="8" xfId="2" applyFont="1" applyFill="1" applyBorder="1" applyAlignment="1">
      <alignment horizontal="center" vertical="center"/>
    </xf>
    <xf numFmtId="41" fontId="1" fillId="8" borderId="1" xfId="2" applyFont="1" applyFill="1" applyBorder="1" applyAlignment="1">
      <alignment horizontal="center" vertical="center"/>
    </xf>
    <xf numFmtId="41" fontId="1" fillId="0" borderId="9" xfId="2" applyFont="1" applyBorder="1" applyAlignment="1">
      <alignment horizontal="center" vertical="center"/>
    </xf>
    <xf numFmtId="41" fontId="1" fillId="7" borderId="10" xfId="2" applyFont="1" applyFill="1" applyBorder="1" applyAlignment="1">
      <alignment horizontal="center" vertical="center"/>
    </xf>
    <xf numFmtId="41" fontId="1" fillId="0" borderId="11" xfId="2" applyFont="1" applyBorder="1" applyAlignment="1">
      <alignment horizontal="center" vertical="center"/>
    </xf>
    <xf numFmtId="41" fontId="1" fillId="8" borderId="11" xfId="2" applyFont="1" applyFill="1" applyBorder="1" applyAlignment="1">
      <alignment horizontal="center" vertical="center"/>
    </xf>
    <xf numFmtId="41" fontId="1" fillId="0" borderId="12" xfId="2" applyFont="1" applyBorder="1" applyAlignment="1">
      <alignment horizontal="center" vertical="center"/>
    </xf>
    <xf numFmtId="41" fontId="1" fillId="5" borderId="0" xfId="2" applyFont="1" applyFill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41" fontId="0" fillId="0" borderId="0" xfId="2" applyFont="1" applyAlignment="1">
      <alignment vertical="center" shrinkToFit="1"/>
    </xf>
    <xf numFmtId="41" fontId="0" fillId="0" borderId="0" xfId="2" applyFont="1">
      <alignment vertical="center"/>
    </xf>
    <xf numFmtId="41" fontId="10" fillId="0" borderId="1" xfId="2" applyFont="1" applyBorder="1">
      <alignment vertical="center"/>
    </xf>
    <xf numFmtId="0" fontId="10" fillId="0" borderId="13" xfId="2" applyNumberFormat="1" applyFont="1" applyBorder="1" applyAlignment="1">
      <alignment horizontal="center" vertical="center" shrinkToFit="1"/>
    </xf>
    <xf numFmtId="0" fontId="10" fillId="0" borderId="1" xfId="2" applyNumberFormat="1" applyFont="1" applyBorder="1" applyAlignment="1">
      <alignment horizontal="center" vertical="center" shrinkToFit="1"/>
    </xf>
    <xf numFmtId="41" fontId="0" fillId="0" borderId="14" xfId="2" applyFont="1" applyBorder="1">
      <alignment vertical="center"/>
    </xf>
    <xf numFmtId="41" fontId="0" fillId="0" borderId="0" xfId="2" applyFont="1" applyBorder="1" applyAlignment="1">
      <alignment vertical="center" shrinkToFit="1"/>
    </xf>
    <xf numFmtId="41" fontId="0" fillId="0" borderId="14" xfId="2" applyFont="1" applyBorder="1" applyAlignment="1">
      <alignment vertical="center" shrinkToFit="1"/>
    </xf>
    <xf numFmtId="41" fontId="0" fillId="0" borderId="15" xfId="2" applyFont="1" applyBorder="1">
      <alignment vertical="center"/>
    </xf>
    <xf numFmtId="41" fontId="0" fillId="0" borderId="16" xfId="2" applyFont="1" applyBorder="1" applyAlignment="1">
      <alignment vertical="center" shrinkToFit="1"/>
    </xf>
    <xf numFmtId="41" fontId="0" fillId="0" borderId="15" xfId="2" applyFont="1" applyBorder="1" applyAlignment="1">
      <alignment vertical="center" shrinkToFit="1"/>
    </xf>
    <xf numFmtId="41" fontId="10" fillId="0" borderId="17" xfId="2" applyFont="1" applyBorder="1">
      <alignment vertical="center"/>
    </xf>
    <xf numFmtId="41" fontId="0" fillId="0" borderId="18" xfId="2" applyFont="1" applyBorder="1" applyAlignment="1">
      <alignment vertical="center" shrinkToFit="1"/>
    </xf>
    <xf numFmtId="41" fontId="0" fillId="0" borderId="17" xfId="2" applyFont="1" applyBorder="1" applyAlignment="1">
      <alignment vertical="center" shrinkToFit="1"/>
    </xf>
    <xf numFmtId="41" fontId="0" fillId="0" borderId="14" xfId="2" applyFont="1" applyBorder="1" applyAlignment="1">
      <alignment horizontal="left" vertical="center" shrinkToFit="1"/>
    </xf>
    <xf numFmtId="41" fontId="0" fillId="0" borderId="1" xfId="2" applyFont="1" applyBorder="1">
      <alignment vertical="center"/>
    </xf>
    <xf numFmtId="41" fontId="0" fillId="0" borderId="13" xfId="2" applyFont="1" applyBorder="1" applyAlignment="1">
      <alignment vertical="center" shrinkToFit="1"/>
    </xf>
    <xf numFmtId="41" fontId="0" fillId="0" borderId="1" xfId="2" applyFont="1" applyBorder="1" applyAlignment="1">
      <alignment vertical="center" shrinkToFit="1"/>
    </xf>
    <xf numFmtId="0" fontId="10" fillId="0" borderId="3" xfId="2" applyNumberFormat="1" applyFont="1" applyBorder="1" applyAlignment="1">
      <alignment horizontal="center" vertical="center" shrinkToFit="1"/>
    </xf>
    <xf numFmtId="41" fontId="0" fillId="0" borderId="19" xfId="2" applyFont="1" applyBorder="1" applyAlignment="1">
      <alignment vertical="center" shrinkToFit="1"/>
    </xf>
    <xf numFmtId="41" fontId="0" fillId="0" borderId="20" xfId="2" applyFont="1" applyBorder="1" applyAlignment="1">
      <alignment vertical="center" shrinkToFit="1"/>
    </xf>
    <xf numFmtId="41" fontId="0" fillId="0" borderId="21" xfId="2" applyFont="1" applyBorder="1" applyAlignment="1">
      <alignment vertical="center" shrinkToFit="1"/>
    </xf>
    <xf numFmtId="41" fontId="0" fillId="0" borderId="3" xfId="2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9" borderId="22" xfId="0" applyFill="1" applyBorder="1" applyAlignment="1">
      <alignment horizontal="center" vertical="center" shrinkToFit="1"/>
    </xf>
    <xf numFmtId="0" fontId="0" fillId="9" borderId="23" xfId="0" applyFill="1" applyBorder="1" applyAlignment="1">
      <alignment horizontal="center" vertical="center" shrinkToFit="1"/>
    </xf>
    <xf numFmtId="177" fontId="11" fillId="0" borderId="20" xfId="0" applyNumberFormat="1" applyFont="1" applyBorder="1" applyAlignment="1">
      <alignment vertical="center" shrinkToFit="1"/>
    </xf>
    <xf numFmtId="177" fontId="11" fillId="0" borderId="15" xfId="0" applyNumberFormat="1" applyFont="1" applyBorder="1" applyAlignment="1">
      <alignment vertical="center" shrinkToFit="1"/>
    </xf>
    <xf numFmtId="177" fontId="0" fillId="0" borderId="8" xfId="0" applyNumberFormat="1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177" fontId="12" fillId="0" borderId="9" xfId="0" applyNumberFormat="1" applyFont="1" applyBorder="1" applyAlignment="1">
      <alignment horizontal="center" vertical="center" shrinkToFit="1"/>
    </xf>
    <xf numFmtId="177" fontId="11" fillId="7" borderId="3" xfId="0" applyNumberFormat="1" applyFont="1" applyFill="1" applyBorder="1" applyAlignment="1">
      <alignment vertical="center" shrinkToFit="1"/>
    </xf>
    <xf numFmtId="177" fontId="11" fillId="0" borderId="1" xfId="0" applyNumberFormat="1" applyFont="1" applyBorder="1" applyAlignment="1">
      <alignment vertical="center" shrinkToFit="1"/>
    </xf>
    <xf numFmtId="177" fontId="11" fillId="0" borderId="4" xfId="0" applyNumberFormat="1" applyFont="1" applyBorder="1" applyAlignment="1">
      <alignment vertical="center" shrinkToFit="1"/>
    </xf>
    <xf numFmtId="177" fontId="11" fillId="0" borderId="3" xfId="0" applyNumberFormat="1" applyFont="1" applyBorder="1" applyAlignment="1">
      <alignment vertical="center" shrinkToFit="1"/>
    </xf>
    <xf numFmtId="177" fontId="12" fillId="0" borderId="9" xfId="0" applyNumberFormat="1" applyFont="1" applyFill="1" applyBorder="1" applyAlignment="1">
      <alignment horizontal="center" vertical="center" shrinkToFit="1"/>
    </xf>
    <xf numFmtId="177" fontId="13" fillId="0" borderId="3" xfId="0" applyNumberFormat="1" applyFont="1" applyFill="1" applyBorder="1" applyAlignment="1">
      <alignment vertical="center" shrinkToFit="1"/>
    </xf>
    <xf numFmtId="177" fontId="11" fillId="0" borderId="1" xfId="0" applyNumberFormat="1" applyFont="1" applyFill="1" applyBorder="1" applyAlignment="1">
      <alignment vertical="center" shrinkToFit="1"/>
    </xf>
    <xf numFmtId="177" fontId="13" fillId="0" borderId="4" xfId="0" applyNumberFormat="1" applyFont="1" applyFill="1" applyBorder="1" applyAlignment="1">
      <alignment vertical="center" shrinkToFit="1"/>
    </xf>
    <xf numFmtId="177" fontId="11" fillId="0" borderId="4" xfId="0" applyNumberFormat="1" applyFont="1" applyFill="1" applyBorder="1" applyAlignment="1">
      <alignment vertical="center" shrinkToFit="1"/>
    </xf>
    <xf numFmtId="177" fontId="0" fillId="0" borderId="11" xfId="0" applyNumberFormat="1" applyBorder="1" applyAlignment="1">
      <alignment horizontal="center" vertical="center" shrinkToFit="1"/>
    </xf>
    <xf numFmtId="177" fontId="12" fillId="0" borderId="12" xfId="0" applyNumberFormat="1" applyFont="1" applyBorder="1" applyAlignment="1">
      <alignment horizontal="center" vertical="center" shrinkToFit="1"/>
    </xf>
    <xf numFmtId="177" fontId="11" fillId="0" borderId="10" xfId="0" applyNumberFormat="1" applyFont="1" applyBorder="1" applyAlignment="1">
      <alignment vertical="center" shrinkToFit="1"/>
    </xf>
    <xf numFmtId="177" fontId="11" fillId="0" borderId="11" xfId="0" applyNumberFormat="1" applyFont="1" applyBorder="1" applyAlignment="1">
      <alignment vertical="center" shrinkToFit="1"/>
    </xf>
    <xf numFmtId="177" fontId="11" fillId="0" borderId="23" xfId="0" applyNumberFormat="1" applyFont="1" applyBorder="1" applyAlignment="1">
      <alignment vertical="center" shrinkToFit="1"/>
    </xf>
    <xf numFmtId="177" fontId="11" fillId="0" borderId="12" xfId="0" applyNumberFormat="1" applyFont="1" applyBorder="1" applyAlignment="1">
      <alignment vertical="center" shrinkToFit="1"/>
    </xf>
    <xf numFmtId="0" fontId="14" fillId="0" borderId="0" xfId="0" applyFont="1">
      <alignment vertical="center"/>
    </xf>
    <xf numFmtId="41" fontId="14" fillId="0" borderId="0" xfId="2" applyFont="1">
      <alignment vertical="center"/>
    </xf>
    <xf numFmtId="177" fontId="11" fillId="10" borderId="24" xfId="0" applyNumberFormat="1" applyFont="1" applyFill="1" applyBorder="1" applyAlignment="1">
      <alignment vertical="center" shrinkToFit="1"/>
    </xf>
    <xf numFmtId="177" fontId="11" fillId="10" borderId="25" xfId="0" applyNumberFormat="1" applyFont="1" applyFill="1" applyBorder="1" applyAlignment="1">
      <alignment vertical="center" shrinkToFit="1"/>
    </xf>
    <xf numFmtId="177" fontId="11" fillId="0" borderId="3" xfId="0" applyNumberFormat="1" applyFont="1" applyFill="1" applyBorder="1" applyAlignment="1">
      <alignment vertical="center" shrinkToFit="1"/>
    </xf>
    <xf numFmtId="177" fontId="11" fillId="5" borderId="26" xfId="0" applyNumberFormat="1" applyFont="1" applyFill="1" applyBorder="1" applyAlignment="1">
      <alignment vertical="center" shrinkToFit="1"/>
    </xf>
    <xf numFmtId="177" fontId="11" fillId="7" borderId="27" xfId="0" applyNumberFormat="1" applyFont="1" applyFill="1" applyBorder="1" applyAlignment="1">
      <alignment vertical="center" shrinkToFit="1"/>
    </xf>
    <xf numFmtId="177" fontId="11" fillId="0" borderId="5" xfId="0" applyNumberFormat="1" applyFont="1" applyBorder="1" applyAlignment="1">
      <alignment vertical="center" shrinkToFit="1"/>
    </xf>
    <xf numFmtId="177" fontId="11" fillId="0" borderId="6" xfId="0" applyNumberFormat="1" applyFont="1" applyBorder="1" applyAlignment="1">
      <alignment vertical="center" shrinkToFit="1"/>
    </xf>
    <xf numFmtId="177" fontId="11" fillId="5" borderId="9" xfId="0" applyNumberFormat="1" applyFont="1" applyFill="1" applyBorder="1" applyAlignment="1">
      <alignment vertical="center" shrinkToFit="1"/>
    </xf>
    <xf numFmtId="177" fontId="11" fillId="7" borderId="28" xfId="0" applyNumberFormat="1" applyFont="1" applyFill="1" applyBorder="1" applyAlignment="1">
      <alignment vertical="center" shrinkToFit="1"/>
    </xf>
    <xf numFmtId="177" fontId="11" fillId="0" borderId="8" xfId="0" applyNumberFormat="1" applyFont="1" applyBorder="1" applyAlignment="1">
      <alignment vertical="center" shrinkToFit="1"/>
    </xf>
    <xf numFmtId="177" fontId="11" fillId="10" borderId="29" xfId="0" applyNumberFormat="1" applyFont="1" applyFill="1" applyBorder="1" applyAlignment="1">
      <alignment vertical="center" shrinkToFit="1"/>
    </xf>
    <xf numFmtId="177" fontId="11" fillId="5" borderId="12" xfId="0" applyNumberFormat="1" applyFont="1" applyFill="1" applyBorder="1" applyAlignment="1">
      <alignment vertical="center" shrinkToFit="1"/>
    </xf>
    <xf numFmtId="177" fontId="15" fillId="10" borderId="0" xfId="0" applyNumberFormat="1" applyFont="1" applyFill="1" applyBorder="1" applyAlignment="1">
      <alignment vertical="center" shrinkToFit="1"/>
    </xf>
    <xf numFmtId="177" fontId="15" fillId="0" borderId="0" xfId="0" applyNumberFormat="1" applyFont="1" applyAlignment="1">
      <alignment vertical="center" shrinkToFit="1"/>
    </xf>
    <xf numFmtId="177" fontId="14" fillId="0" borderId="0" xfId="0" applyNumberFormat="1" applyFont="1">
      <alignment vertical="center"/>
    </xf>
    <xf numFmtId="0" fontId="0" fillId="0" borderId="0" xfId="0" applyAlignment="1">
      <alignment horizontal="center" vertical="center" shrinkToFit="1"/>
    </xf>
    <xf numFmtId="177" fontId="11" fillId="0" borderId="22" xfId="0" applyNumberFormat="1" applyFont="1" applyBorder="1" applyAlignment="1">
      <alignment vertical="center" shrinkToFit="1"/>
    </xf>
    <xf numFmtId="177" fontId="11" fillId="4" borderId="30" xfId="0" applyNumberFormat="1" applyFont="1" applyFill="1" applyBorder="1" applyAlignment="1">
      <alignment vertical="center" shrinkToFit="1"/>
    </xf>
    <xf numFmtId="177" fontId="11" fillId="11" borderId="31" xfId="0" applyNumberFormat="1" applyFont="1" applyFill="1" applyBorder="1" applyAlignment="1">
      <alignment vertical="center" shrinkToFit="1"/>
    </xf>
    <xf numFmtId="177" fontId="0" fillId="0" borderId="0" xfId="0" applyNumberFormat="1" applyAlignment="1">
      <alignment horizontal="center" vertical="center" shrinkToFit="1"/>
    </xf>
    <xf numFmtId="177" fontId="0" fillId="0" borderId="0" xfId="0" applyNumberFormat="1" applyAlignment="1">
      <alignment vertical="center" shrinkToFit="1"/>
    </xf>
    <xf numFmtId="177" fontId="11" fillId="4" borderId="25" xfId="0" applyNumberFormat="1" applyFont="1" applyFill="1" applyBorder="1" applyAlignment="1">
      <alignment vertical="center" shrinkToFit="1"/>
    </xf>
    <xf numFmtId="177" fontId="11" fillId="11" borderId="32" xfId="0" applyNumberFormat="1" applyFont="1" applyFill="1" applyBorder="1" applyAlignment="1">
      <alignment vertical="center" shrinkToFit="1"/>
    </xf>
    <xf numFmtId="9" fontId="0" fillId="0" borderId="0" xfId="1" applyFont="1" applyAlignment="1">
      <alignment vertical="center" shrinkToFit="1"/>
    </xf>
    <xf numFmtId="177" fontId="11" fillId="4" borderId="29" xfId="0" applyNumberFormat="1" applyFont="1" applyFill="1" applyBorder="1" applyAlignment="1">
      <alignment vertical="center" shrinkToFit="1"/>
    </xf>
    <xf numFmtId="177" fontId="11" fillId="11" borderId="33" xfId="0" applyNumberFormat="1" applyFont="1" applyFill="1" applyBorder="1" applyAlignment="1">
      <alignment vertical="center" shrinkToFit="1"/>
    </xf>
    <xf numFmtId="0" fontId="31" fillId="0" borderId="0" xfId="0" applyFo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32" fillId="0" borderId="0" xfId="0" applyFont="1">
      <alignment vertical="center"/>
    </xf>
    <xf numFmtId="0" fontId="16" fillId="0" borderId="0" xfId="0" applyFont="1" applyAlignment="1">
      <alignment shrinkToFit="1"/>
    </xf>
    <xf numFmtId="0" fontId="15" fillId="0" borderId="0" xfId="0" applyFont="1" applyAlignment="1">
      <alignment vertical="center" shrinkToFit="1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15" fillId="0" borderId="0" xfId="0" applyFont="1" applyAlignment="1">
      <alignment shrinkToFit="1"/>
    </xf>
    <xf numFmtId="177" fontId="15" fillId="0" borderId="0" xfId="0" applyNumberFormat="1" applyFont="1" applyAlignment="1">
      <alignment shrinkToFit="1"/>
    </xf>
    <xf numFmtId="0" fontId="17" fillId="0" borderId="0" xfId="0" applyFont="1" applyAlignment="1">
      <alignment shrinkToFit="1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shrinkToFit="1"/>
    </xf>
    <xf numFmtId="177" fontId="16" fillId="0" borderId="0" xfId="0" applyNumberFormat="1" applyFont="1" applyAlignment="1">
      <alignment shrinkToFit="1"/>
    </xf>
    <xf numFmtId="0" fontId="19" fillId="0" borderId="0" xfId="0" applyFont="1" applyAlignment="1">
      <alignment shrinkToFit="1"/>
    </xf>
    <xf numFmtId="0" fontId="16" fillId="0" borderId="0" xfId="0" applyFont="1" applyAlignment="1">
      <alignment horizontal="left"/>
    </xf>
    <xf numFmtId="0" fontId="16" fillId="0" borderId="0" xfId="0" applyNumberFormat="1" applyFont="1" applyAlignment="1">
      <alignment horizontal="right" vertical="center" shrinkToFit="1"/>
    </xf>
    <xf numFmtId="0" fontId="16" fillId="0" borderId="0" xfId="0" applyFont="1" applyBorder="1" applyAlignment="1">
      <alignment shrinkToFit="1"/>
    </xf>
    <xf numFmtId="0" fontId="15" fillId="0" borderId="0" xfId="0" applyFont="1" applyBorder="1" applyAlignment="1">
      <alignment vertical="center" shrinkToFit="1"/>
    </xf>
    <xf numFmtId="177" fontId="15" fillId="0" borderId="0" xfId="2" applyNumberFormat="1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41" fontId="16" fillId="0" borderId="0" xfId="2" applyFont="1" applyBorder="1" applyAlignment="1">
      <alignment horizontal="center" vertical="center"/>
    </xf>
    <xf numFmtId="177" fontId="11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12" fillId="13" borderId="0" xfId="0" applyFont="1" applyFill="1">
      <alignment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justify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right" vertical="center" wrapText="1"/>
    </xf>
    <xf numFmtId="0" fontId="24" fillId="0" borderId="0" xfId="0" applyFont="1" applyAlignment="1">
      <alignment vertical="center" shrinkToFit="1"/>
    </xf>
    <xf numFmtId="177" fontId="11" fillId="0" borderId="0" xfId="2" applyNumberFormat="1" applyFont="1" applyFill="1" applyBorder="1" applyAlignment="1" applyProtection="1">
      <alignment horizontal="center" vertical="center" shrinkToFit="1"/>
    </xf>
    <xf numFmtId="0" fontId="11" fillId="0" borderId="0" xfId="0" applyFont="1" applyAlignment="1">
      <alignment shrinkToFit="1"/>
    </xf>
    <xf numFmtId="178" fontId="11" fillId="0" borderId="0" xfId="0" applyNumberFormat="1" applyFont="1" applyBorder="1" applyAlignment="1">
      <alignment shrinkToFit="1"/>
    </xf>
    <xf numFmtId="184" fontId="11" fillId="0" borderId="0" xfId="0" applyNumberFormat="1" applyFont="1" applyBorder="1" applyAlignment="1">
      <alignment shrinkToFit="1"/>
    </xf>
    <xf numFmtId="0" fontId="11" fillId="0" borderId="0" xfId="0" applyFont="1" applyBorder="1" applyAlignment="1">
      <alignment shrinkToFit="1"/>
    </xf>
    <xf numFmtId="179" fontId="11" fillId="0" borderId="0" xfId="0" applyNumberFormat="1" applyFont="1" applyBorder="1" applyAlignment="1">
      <alignment shrinkToFit="1"/>
    </xf>
    <xf numFmtId="0" fontId="11" fillId="0" borderId="0" xfId="2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23" fillId="0" borderId="0" xfId="0" applyFont="1" applyAlignment="1">
      <alignment vertical="center"/>
    </xf>
    <xf numFmtId="177" fontId="33" fillId="0" borderId="0" xfId="2" applyNumberFormat="1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77" fontId="38" fillId="14" borderId="1" xfId="0" applyNumberFormat="1" applyFont="1" applyFill="1" applyBorder="1" applyAlignment="1">
      <alignment horizontal="center" vertical="center" shrinkToFit="1"/>
    </xf>
    <xf numFmtId="177" fontId="33" fillId="0" borderId="0" xfId="0" applyNumberFormat="1" applyFont="1" applyAlignment="1">
      <alignment horizontal="right" vertical="center"/>
    </xf>
    <xf numFmtId="177" fontId="33" fillId="0" borderId="0" xfId="2" applyNumberFormat="1" applyFont="1" applyAlignment="1">
      <alignment horizontal="right" vertical="center"/>
    </xf>
    <xf numFmtId="0" fontId="16" fillId="0" borderId="0" xfId="0" applyFont="1" applyAlignment="1">
      <alignment horizontal="right" shrinkToFit="1"/>
    </xf>
    <xf numFmtId="177" fontId="16" fillId="0" borderId="0" xfId="0" applyNumberFormat="1" applyFont="1" applyAlignment="1">
      <alignment horizontal="right" shrinkToFit="1"/>
    </xf>
    <xf numFmtId="177" fontId="11" fillId="0" borderId="0" xfId="2" applyNumberFormat="1" applyFont="1" applyBorder="1" applyAlignment="1">
      <alignment horizontal="right" vertical="center"/>
    </xf>
    <xf numFmtId="177" fontId="11" fillId="0" borderId="0" xfId="2" applyNumberFormat="1" applyFont="1" applyFill="1" applyBorder="1" applyAlignment="1" applyProtection="1">
      <alignment horizontal="right" vertical="center" shrinkToFit="1"/>
    </xf>
    <xf numFmtId="0" fontId="15" fillId="0" borderId="0" xfId="0" applyFont="1" applyAlignment="1">
      <alignment horizontal="right" shrinkToFit="1"/>
    </xf>
    <xf numFmtId="177" fontId="15" fillId="0" borderId="0" xfId="0" applyNumberFormat="1" applyFont="1" applyAlignment="1">
      <alignment horizontal="right" shrinkToFit="1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177" fontId="43" fillId="0" borderId="0" xfId="0" applyNumberFormat="1" applyFont="1" applyAlignment="1">
      <alignment vertical="center"/>
    </xf>
    <xf numFmtId="0" fontId="44" fillId="0" borderId="0" xfId="0" applyFont="1" applyAlignment="1">
      <alignment vertical="top"/>
    </xf>
    <xf numFmtId="184" fontId="15" fillId="0" borderId="0" xfId="0" applyNumberFormat="1" applyFont="1" applyAlignment="1">
      <alignment vertical="center"/>
    </xf>
    <xf numFmtId="188" fontId="43" fillId="0" borderId="0" xfId="0" applyNumberFormat="1" applyFont="1" applyAlignment="1">
      <alignment horizontal="center" vertical="center" shrinkToFit="1"/>
    </xf>
    <xf numFmtId="189" fontId="43" fillId="0" borderId="0" xfId="2" applyNumberFormat="1" applyFont="1" applyAlignment="1">
      <alignment horizontal="left" vertical="center"/>
    </xf>
    <xf numFmtId="177" fontId="46" fillId="14" borderId="75" xfId="2" applyNumberFormat="1" applyFont="1" applyFill="1" applyBorder="1" applyAlignment="1">
      <alignment horizontal="right" vertical="center"/>
    </xf>
    <xf numFmtId="177" fontId="47" fillId="0" borderId="0" xfId="2" applyNumberFormat="1" applyFont="1" applyBorder="1" applyAlignment="1">
      <alignment horizontal="left" vertical="center"/>
    </xf>
    <xf numFmtId="0" fontId="47" fillId="0" borderId="0" xfId="0" applyFont="1" applyBorder="1" applyAlignment="1">
      <alignment vertical="center" shrinkToFit="1"/>
    </xf>
    <xf numFmtId="0" fontId="47" fillId="0" borderId="0" xfId="0" applyFont="1" applyAlignment="1">
      <alignment vertical="center" shrinkToFit="1"/>
    </xf>
    <xf numFmtId="177" fontId="46" fillId="14" borderId="54" xfId="2" applyNumberFormat="1" applyFont="1" applyFill="1" applyBorder="1" applyAlignment="1">
      <alignment horizontal="right" vertical="center"/>
    </xf>
    <xf numFmtId="177" fontId="46" fillId="14" borderId="56" xfId="2" applyNumberFormat="1" applyFont="1" applyFill="1" applyBorder="1" applyAlignment="1">
      <alignment horizontal="right" vertical="center"/>
    </xf>
    <xf numFmtId="177" fontId="46" fillId="14" borderId="50" xfId="2" applyNumberFormat="1" applyFont="1" applyFill="1" applyBorder="1" applyAlignment="1">
      <alignment horizontal="left" vertical="center"/>
    </xf>
    <xf numFmtId="178" fontId="46" fillId="14" borderId="50" xfId="2" applyNumberFormat="1" applyFont="1" applyFill="1" applyBorder="1" applyAlignment="1">
      <alignment horizontal="left" vertical="center"/>
    </xf>
    <xf numFmtId="179" fontId="46" fillId="14" borderId="50" xfId="2" applyNumberFormat="1" applyFont="1" applyFill="1" applyBorder="1" applyAlignment="1">
      <alignment horizontal="left" vertical="center"/>
    </xf>
    <xf numFmtId="0" fontId="38" fillId="0" borderId="42" xfId="2" applyNumberFormat="1" applyFont="1" applyBorder="1" applyAlignment="1">
      <alignment vertical="center"/>
    </xf>
    <xf numFmtId="177" fontId="38" fillId="14" borderId="6" xfId="2" applyNumberFormat="1" applyFont="1" applyFill="1" applyBorder="1" applyAlignment="1">
      <alignment horizontal="right" vertical="center"/>
    </xf>
    <xf numFmtId="177" fontId="38" fillId="14" borderId="59" xfId="2" applyNumberFormat="1" applyFont="1" applyFill="1" applyBorder="1" applyAlignment="1" applyProtection="1">
      <alignment horizontal="right" vertical="center" shrinkToFit="1"/>
    </xf>
    <xf numFmtId="177" fontId="38" fillId="14" borderId="35" xfId="2" applyNumberFormat="1" applyFont="1" applyFill="1" applyBorder="1" applyAlignment="1">
      <alignment horizontal="right" vertical="center"/>
    </xf>
    <xf numFmtId="177" fontId="38" fillId="14" borderId="0" xfId="2" applyNumberFormat="1" applyFont="1" applyFill="1" applyBorder="1" applyAlignment="1">
      <alignment horizontal="left" vertical="center"/>
    </xf>
    <xf numFmtId="178" fontId="38" fillId="14" borderId="0" xfId="2" applyNumberFormat="1" applyFont="1" applyFill="1" applyBorder="1" applyAlignment="1">
      <alignment horizontal="left" vertical="center"/>
    </xf>
    <xf numFmtId="183" fontId="38" fillId="14" borderId="0" xfId="2" applyNumberFormat="1" applyFont="1" applyFill="1" applyBorder="1" applyAlignment="1">
      <alignment horizontal="left" vertical="center"/>
    </xf>
    <xf numFmtId="179" fontId="38" fillId="14" borderId="0" xfId="2" applyNumberFormat="1" applyFont="1" applyFill="1" applyBorder="1" applyAlignment="1">
      <alignment horizontal="left" vertical="center"/>
    </xf>
    <xf numFmtId="177" fontId="46" fillId="14" borderId="37" xfId="2" applyNumberFormat="1" applyFont="1" applyFill="1" applyBorder="1" applyAlignment="1">
      <alignment vertical="center"/>
    </xf>
    <xf numFmtId="177" fontId="11" fillId="0" borderId="0" xfId="2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38" fillId="0" borderId="14" xfId="2" applyNumberFormat="1" applyFont="1" applyBorder="1" applyAlignment="1">
      <alignment vertical="center"/>
    </xf>
    <xf numFmtId="177" fontId="38" fillId="0" borderId="14" xfId="2" applyNumberFormat="1" applyFont="1" applyBorder="1" applyAlignment="1">
      <alignment horizontal="right" vertical="center"/>
    </xf>
    <xf numFmtId="177" fontId="38" fillId="0" borderId="14" xfId="2" applyNumberFormat="1" applyFont="1" applyFill="1" applyBorder="1" applyAlignment="1" applyProtection="1">
      <alignment horizontal="right" vertical="center" shrinkToFit="1"/>
    </xf>
    <xf numFmtId="2" fontId="38" fillId="0" borderId="14" xfId="2" applyNumberFormat="1" applyFont="1" applyFill="1" applyBorder="1" applyAlignment="1" applyProtection="1">
      <alignment horizontal="center" vertical="center" shrinkToFit="1"/>
    </xf>
    <xf numFmtId="177" fontId="38" fillId="0" borderId="4" xfId="2" applyNumberFormat="1" applyFont="1" applyBorder="1" applyAlignment="1">
      <alignment horizontal="right" vertical="center"/>
    </xf>
    <xf numFmtId="0" fontId="38" fillId="0" borderId="13" xfId="0" applyNumberFormat="1" applyFont="1" applyFill="1" applyBorder="1" applyAlignment="1" applyProtection="1">
      <alignment horizontal="right" vertical="center" shrinkToFit="1"/>
    </xf>
    <xf numFmtId="179" fontId="38" fillId="0" borderId="13" xfId="0" applyNumberFormat="1" applyFont="1" applyFill="1" applyBorder="1" applyAlignment="1" applyProtection="1">
      <alignment horizontal="right" vertical="center" shrinkToFit="1"/>
    </xf>
    <xf numFmtId="177" fontId="46" fillId="0" borderId="32" xfId="0" applyNumberFormat="1" applyFont="1" applyFill="1" applyBorder="1" applyAlignment="1" applyProtection="1">
      <alignment horizontal="right" vertical="center" shrinkToFit="1"/>
    </xf>
    <xf numFmtId="41" fontId="38" fillId="0" borderId="0" xfId="2" applyFont="1" applyFill="1" applyBorder="1" applyAlignment="1">
      <alignment horizontal="center" vertical="center"/>
    </xf>
    <xf numFmtId="0" fontId="38" fillId="0" borderId="18" xfId="0" applyNumberFormat="1" applyFont="1" applyFill="1" applyBorder="1" applyAlignment="1" applyProtection="1">
      <alignment horizontal="right" vertical="center" shrinkToFit="1"/>
    </xf>
    <xf numFmtId="179" fontId="38" fillId="0" borderId="18" xfId="0" applyNumberFormat="1" applyFont="1" applyFill="1" applyBorder="1" applyAlignment="1" applyProtection="1">
      <alignment horizontal="right" vertical="center" shrinkToFit="1"/>
    </xf>
    <xf numFmtId="177" fontId="38" fillId="0" borderId="39" xfId="0" applyNumberFormat="1" applyFont="1" applyFill="1" applyBorder="1" applyAlignment="1" applyProtection="1">
      <alignment horizontal="right" vertical="center" shrinkToFit="1"/>
    </xf>
    <xf numFmtId="177" fontId="38" fillId="0" borderId="35" xfId="2" applyNumberFormat="1" applyFont="1" applyBorder="1" applyAlignment="1">
      <alignment horizontal="center" vertical="center"/>
    </xf>
    <xf numFmtId="177" fontId="38" fillId="0" borderId="0" xfId="2" applyNumberFormat="1" applyFont="1" applyBorder="1" applyAlignment="1">
      <alignment horizontal="left" vertical="center"/>
    </xf>
    <xf numFmtId="177" fontId="38" fillId="0" borderId="37" xfId="0" applyNumberFormat="1" applyFont="1" applyFill="1" applyBorder="1" applyAlignment="1" applyProtection="1">
      <alignment horizontal="right" vertical="center" shrinkToFit="1"/>
    </xf>
    <xf numFmtId="178" fontId="38" fillId="0" borderId="0" xfId="0" applyNumberFormat="1" applyFont="1" applyFill="1" applyBorder="1" applyAlignment="1" applyProtection="1">
      <alignment horizontal="right" vertical="center" shrinkToFit="1"/>
    </xf>
    <xf numFmtId="179" fontId="38" fillId="0" borderId="0" xfId="0" applyNumberFormat="1" applyFont="1" applyFill="1" applyBorder="1" applyAlignment="1" applyProtection="1">
      <alignment horizontal="right" vertical="center" shrinkToFit="1"/>
    </xf>
    <xf numFmtId="9" fontId="38" fillId="0" borderId="0" xfId="1" applyFont="1" applyFill="1" applyBorder="1" applyAlignment="1" applyProtection="1">
      <alignment horizontal="right" vertical="center" shrinkToFit="1"/>
    </xf>
    <xf numFmtId="177" fontId="38" fillId="0" borderId="16" xfId="2" applyNumberFormat="1" applyFont="1" applyFill="1" applyBorder="1" applyAlignment="1">
      <alignment horizontal="left" vertical="center"/>
    </xf>
    <xf numFmtId="177" fontId="38" fillId="0" borderId="52" xfId="0" applyNumberFormat="1" applyFont="1" applyFill="1" applyBorder="1" applyAlignment="1" applyProtection="1">
      <alignment horizontal="right" vertical="center" shrinkToFit="1"/>
    </xf>
    <xf numFmtId="0" fontId="38" fillId="0" borderId="17" xfId="2" applyNumberFormat="1" applyFont="1" applyBorder="1" applyAlignment="1">
      <alignment vertical="center"/>
    </xf>
    <xf numFmtId="177" fontId="38" fillId="0" borderId="17" xfId="2" applyNumberFormat="1" applyFont="1" applyBorder="1" applyAlignment="1">
      <alignment horizontal="right" vertical="center"/>
    </xf>
    <xf numFmtId="177" fontId="38" fillId="0" borderId="17" xfId="2" applyNumberFormat="1" applyFont="1" applyFill="1" applyBorder="1" applyAlignment="1" applyProtection="1">
      <alignment horizontal="right" vertical="center" shrinkToFit="1"/>
    </xf>
    <xf numFmtId="2" fontId="38" fillId="0" borderId="17" xfId="2" applyNumberFormat="1" applyFont="1" applyFill="1" applyBorder="1" applyAlignment="1" applyProtection="1">
      <alignment horizontal="center" vertical="center" shrinkToFit="1"/>
    </xf>
    <xf numFmtId="178" fontId="38" fillId="0" borderId="13" xfId="2" applyNumberFormat="1" applyFont="1" applyFill="1" applyBorder="1" applyAlignment="1">
      <alignment horizontal="right" vertical="center"/>
    </xf>
    <xf numFmtId="177" fontId="38" fillId="0" borderId="13" xfId="2" applyNumberFormat="1" applyFont="1" applyFill="1" applyBorder="1" applyAlignment="1">
      <alignment horizontal="right" vertical="center"/>
    </xf>
    <xf numFmtId="0" fontId="38" fillId="0" borderId="0" xfId="0" applyNumberFormat="1" applyFont="1" applyFill="1" applyBorder="1" applyAlignment="1" applyProtection="1">
      <alignment horizontal="left" vertical="center"/>
    </xf>
    <xf numFmtId="178" fontId="38" fillId="0" borderId="0" xfId="2" applyNumberFormat="1" applyFont="1" applyFill="1" applyBorder="1" applyAlignment="1" applyProtection="1">
      <alignment horizontal="right" vertical="center" shrinkToFit="1"/>
    </xf>
    <xf numFmtId="186" fontId="38" fillId="0" borderId="0" xfId="0" applyNumberFormat="1" applyFont="1" applyFill="1" applyBorder="1" applyAlignment="1" applyProtection="1">
      <alignment horizontal="right" vertical="center" shrinkToFit="1"/>
    </xf>
    <xf numFmtId="0" fontId="38" fillId="0" borderId="0" xfId="2" applyNumberFormat="1" applyFont="1" applyFill="1" applyBorder="1" applyAlignment="1">
      <alignment horizontal="left" vertical="center"/>
    </xf>
    <xf numFmtId="178" fontId="38" fillId="0" borderId="0" xfId="2" applyNumberFormat="1" applyFont="1" applyFill="1" applyBorder="1" applyAlignment="1">
      <alignment horizontal="right" vertical="center"/>
    </xf>
    <xf numFmtId="179" fontId="38" fillId="0" borderId="0" xfId="2" applyNumberFormat="1" applyFont="1" applyFill="1" applyBorder="1" applyAlignment="1">
      <alignment horizontal="right" vertical="center"/>
    </xf>
    <xf numFmtId="180" fontId="38" fillId="0" borderId="0" xfId="2" applyNumberFormat="1" applyFont="1" applyFill="1" applyBorder="1" applyAlignment="1">
      <alignment vertical="center"/>
    </xf>
    <xf numFmtId="41" fontId="38" fillId="0" borderId="37" xfId="2" applyFont="1" applyFill="1" applyBorder="1" applyAlignment="1">
      <alignment horizontal="center" vertical="center"/>
    </xf>
    <xf numFmtId="177" fontId="38" fillId="0" borderId="0" xfId="2" applyNumberFormat="1" applyFont="1" applyFill="1" applyBorder="1" applyAlignment="1">
      <alignment horizontal="left" vertical="center"/>
    </xf>
    <xf numFmtId="9" fontId="38" fillId="0" borderId="0" xfId="2" applyNumberFormat="1" applyFont="1" applyFill="1" applyBorder="1" applyAlignment="1">
      <alignment vertical="center"/>
    </xf>
    <xf numFmtId="180" fontId="38" fillId="0" borderId="0" xfId="2" applyNumberFormat="1" applyFont="1" applyFill="1" applyBorder="1" applyAlignment="1">
      <alignment horizontal="right" vertical="center"/>
    </xf>
    <xf numFmtId="178" fontId="38" fillId="0" borderId="0" xfId="2" applyNumberFormat="1" applyFont="1" applyBorder="1" applyAlignment="1">
      <alignment horizontal="right" vertical="center"/>
    </xf>
    <xf numFmtId="41" fontId="38" fillId="0" borderId="0" xfId="2" applyFont="1" applyBorder="1" applyAlignment="1">
      <alignment horizontal="center" vertical="center"/>
    </xf>
    <xf numFmtId="41" fontId="38" fillId="0" borderId="37" xfId="2" applyFont="1" applyBorder="1" applyAlignment="1">
      <alignment vertical="center"/>
    </xf>
    <xf numFmtId="178" fontId="38" fillId="0" borderId="37" xfId="2" applyNumberFormat="1" applyFont="1" applyFill="1" applyBorder="1" applyAlignment="1">
      <alignment vertical="center" wrapText="1"/>
    </xf>
    <xf numFmtId="179" fontId="38" fillId="0" borderId="0" xfId="2" applyNumberFormat="1" applyFont="1" applyFill="1" applyBorder="1" applyAlignment="1">
      <alignment vertical="center"/>
    </xf>
    <xf numFmtId="41" fontId="38" fillId="0" borderId="0" xfId="2" applyFont="1" applyFill="1" applyBorder="1" applyAlignment="1">
      <alignment horizontal="left" vertical="center"/>
    </xf>
    <xf numFmtId="0" fontId="38" fillId="0" borderId="0" xfId="0" applyNumberFormat="1" applyFont="1" applyFill="1" applyBorder="1" applyAlignment="1" applyProtection="1">
      <alignment vertical="center" shrinkToFit="1"/>
    </xf>
    <xf numFmtId="0" fontId="38" fillId="0" borderId="0" xfId="0" applyNumberFormat="1" applyFont="1" applyFill="1" applyBorder="1" applyAlignment="1" applyProtection="1">
      <alignment horizontal="left" vertical="center" shrinkToFit="1"/>
    </xf>
    <xf numFmtId="181" fontId="38" fillId="0" borderId="0" xfId="2" applyNumberFormat="1" applyFont="1" applyFill="1" applyBorder="1" applyAlignment="1">
      <alignment horizontal="center" vertical="center"/>
    </xf>
    <xf numFmtId="179" fontId="38" fillId="0" borderId="0" xfId="0" applyNumberFormat="1" applyFont="1" applyFill="1" applyBorder="1" applyAlignment="1" applyProtection="1">
      <alignment horizontal="right" vertical="center" wrapText="1" shrinkToFit="1"/>
    </xf>
    <xf numFmtId="187" fontId="38" fillId="0" borderId="0" xfId="0" applyNumberFormat="1" applyFont="1" applyFill="1" applyBorder="1" applyAlignment="1" applyProtection="1">
      <alignment horizontal="right" vertical="center" shrinkToFit="1"/>
    </xf>
    <xf numFmtId="177" fontId="38" fillId="0" borderId="35" xfId="2" applyNumberFormat="1" applyFont="1" applyFill="1" applyBorder="1" applyAlignment="1">
      <alignment horizontal="center" vertical="center"/>
    </xf>
    <xf numFmtId="180" fontId="38" fillId="0" borderId="0" xfId="0" applyNumberFormat="1" applyFont="1" applyFill="1" applyBorder="1" applyAlignment="1" applyProtection="1">
      <alignment vertical="center" shrinkToFit="1"/>
    </xf>
    <xf numFmtId="177" fontId="38" fillId="0" borderId="0" xfId="2" applyNumberFormat="1" applyFont="1" applyFill="1" applyBorder="1" applyAlignment="1">
      <alignment horizontal="right" vertical="center"/>
    </xf>
    <xf numFmtId="177" fontId="38" fillId="0" borderId="37" xfId="2" applyNumberFormat="1" applyFont="1" applyFill="1" applyBorder="1" applyAlignment="1">
      <alignment horizontal="right" vertical="center"/>
    </xf>
    <xf numFmtId="179" fontId="38" fillId="0" borderId="0" xfId="0" applyNumberFormat="1" applyFont="1" applyBorder="1" applyAlignment="1">
      <alignment vertical="center"/>
    </xf>
    <xf numFmtId="180" fontId="38" fillId="0" borderId="0" xfId="1" applyNumberFormat="1" applyFont="1" applyFill="1" applyBorder="1" applyAlignment="1" applyProtection="1">
      <alignment horizontal="right" vertical="center" shrinkToFit="1"/>
    </xf>
    <xf numFmtId="193" fontId="46" fillId="14" borderId="54" xfId="2" applyNumberFormat="1" applyFont="1" applyFill="1" applyBorder="1" applyAlignment="1">
      <alignment horizontal="center" vertical="center"/>
    </xf>
    <xf numFmtId="0" fontId="38" fillId="0" borderId="51" xfId="2" applyNumberFormat="1" applyFont="1" applyBorder="1" applyAlignment="1">
      <alignment vertical="center"/>
    </xf>
    <xf numFmtId="177" fontId="38" fillId="14" borderId="58" xfId="2" applyNumberFormat="1" applyFont="1" applyFill="1" applyBorder="1" applyAlignment="1">
      <alignment horizontal="left" vertical="center"/>
    </xf>
    <xf numFmtId="0" fontId="38" fillId="0" borderId="68" xfId="2" applyNumberFormat="1" applyFont="1" applyFill="1" applyBorder="1" applyAlignment="1">
      <alignment vertical="center"/>
    </xf>
    <xf numFmtId="177" fontId="38" fillId="0" borderId="67" xfId="2" applyNumberFormat="1" applyFont="1" applyBorder="1" applyAlignment="1">
      <alignment horizontal="right" vertical="center"/>
    </xf>
    <xf numFmtId="178" fontId="38" fillId="0" borderId="13" xfId="2" applyNumberFormat="1" applyFont="1" applyBorder="1" applyAlignment="1">
      <alignment horizontal="right" vertical="center"/>
    </xf>
    <xf numFmtId="41" fontId="38" fillId="0" borderId="13" xfId="2" applyFont="1" applyBorder="1" applyAlignment="1">
      <alignment horizontal="center" vertical="center"/>
    </xf>
    <xf numFmtId="0" fontId="38" fillId="0" borderId="69" xfId="2" applyNumberFormat="1" applyFont="1" applyFill="1" applyBorder="1" applyAlignment="1">
      <alignment vertical="center"/>
    </xf>
    <xf numFmtId="0" fontId="38" fillId="0" borderId="73" xfId="0" applyFont="1" applyBorder="1" applyAlignment="1">
      <alignment vertical="center" shrinkToFit="1"/>
    </xf>
    <xf numFmtId="177" fontId="38" fillId="0" borderId="74" xfId="2" applyNumberFormat="1" applyFont="1" applyBorder="1" applyAlignment="1">
      <alignment horizontal="right" vertical="center"/>
    </xf>
    <xf numFmtId="0" fontId="38" fillId="0" borderId="0" xfId="0" applyNumberFormat="1" applyFont="1" applyFill="1" applyBorder="1" applyAlignment="1" applyProtection="1">
      <alignment horizontal="right" vertical="center" shrinkToFit="1"/>
    </xf>
    <xf numFmtId="177" fontId="38" fillId="0" borderId="48" xfId="0" applyNumberFormat="1" applyFont="1" applyFill="1" applyBorder="1" applyAlignment="1" applyProtection="1">
      <alignment horizontal="right" vertical="center" shrinkToFit="1"/>
    </xf>
    <xf numFmtId="0" fontId="46" fillId="14" borderId="56" xfId="0" applyFont="1" applyFill="1" applyBorder="1" applyAlignment="1">
      <alignment vertical="center" shrinkToFit="1"/>
    </xf>
    <xf numFmtId="0" fontId="46" fillId="14" borderId="50" xfId="0" applyFont="1" applyFill="1" applyBorder="1" applyAlignment="1">
      <alignment horizontal="left" vertical="center"/>
    </xf>
    <xf numFmtId="178" fontId="46" fillId="14" borderId="50" xfId="0" applyNumberFormat="1" applyFont="1" applyFill="1" applyBorder="1" applyAlignment="1">
      <alignment vertical="center" shrinkToFit="1"/>
    </xf>
    <xf numFmtId="0" fontId="46" fillId="14" borderId="50" xfId="0" applyFont="1" applyFill="1" applyBorder="1" applyAlignment="1">
      <alignment vertical="center" shrinkToFit="1"/>
    </xf>
    <xf numFmtId="179" fontId="46" fillId="14" borderId="50" xfId="0" applyNumberFormat="1" applyFont="1" applyFill="1" applyBorder="1" applyAlignment="1">
      <alignment vertical="center" shrinkToFit="1"/>
    </xf>
    <xf numFmtId="38" fontId="46" fillId="14" borderId="57" xfId="0" applyNumberFormat="1" applyFont="1" applyFill="1" applyBorder="1" applyAlignment="1">
      <alignment vertical="center" shrinkToFit="1"/>
    </xf>
    <xf numFmtId="0" fontId="38" fillId="0" borderId="51" xfId="0" applyNumberFormat="1" applyFont="1" applyFill="1" applyBorder="1" applyAlignment="1" applyProtection="1">
      <alignment horizontal="left" vertical="center"/>
    </xf>
    <xf numFmtId="177" fontId="38" fillId="14" borderId="6" xfId="2" applyNumberFormat="1" applyFont="1" applyFill="1" applyBorder="1" applyAlignment="1" applyProtection="1">
      <alignment horizontal="right" vertical="center" shrinkToFit="1"/>
    </xf>
    <xf numFmtId="0" fontId="38" fillId="14" borderId="58" xfId="0" applyFont="1" applyFill="1" applyBorder="1" applyAlignment="1">
      <alignment vertical="center" shrinkToFit="1"/>
    </xf>
    <xf numFmtId="178" fontId="38" fillId="14" borderId="58" xfId="0" applyNumberFormat="1" applyFont="1" applyFill="1" applyBorder="1" applyAlignment="1">
      <alignment vertical="center" shrinkToFit="1"/>
    </xf>
    <xf numFmtId="179" fontId="38" fillId="14" borderId="58" xfId="0" applyNumberFormat="1" applyFont="1" applyFill="1" applyBorder="1" applyAlignment="1">
      <alignment vertical="center" shrinkToFit="1"/>
    </xf>
    <xf numFmtId="0" fontId="38" fillId="0" borderId="42" xfId="0" applyNumberFormat="1" applyFont="1" applyFill="1" applyBorder="1" applyAlignment="1" applyProtection="1">
      <alignment horizontal="left" vertical="center"/>
    </xf>
    <xf numFmtId="0" fontId="38" fillId="0" borderId="19" xfId="0" applyNumberFormat="1" applyFont="1" applyFill="1" applyBorder="1" applyAlignment="1" applyProtection="1">
      <alignment vertical="center"/>
    </xf>
    <xf numFmtId="0" fontId="38" fillId="0" borderId="14" xfId="0" applyNumberFormat="1" applyFont="1" applyFill="1" applyBorder="1" applyAlignment="1" applyProtection="1">
      <alignment vertical="center"/>
    </xf>
    <xf numFmtId="2" fontId="38" fillId="14" borderId="6" xfId="2" applyNumberFormat="1" applyFont="1" applyFill="1" applyBorder="1" applyAlignment="1" applyProtection="1">
      <alignment horizontal="center" vertical="center" shrinkToFit="1"/>
    </xf>
    <xf numFmtId="38" fontId="46" fillId="14" borderId="31" xfId="0" applyNumberFormat="1" applyFont="1" applyFill="1" applyBorder="1" applyAlignment="1">
      <alignment vertical="center" shrinkToFit="1"/>
    </xf>
    <xf numFmtId="0" fontId="38" fillId="0" borderId="13" xfId="0" applyFont="1" applyBorder="1" applyAlignment="1">
      <alignment vertical="center" shrinkToFit="1"/>
    </xf>
    <xf numFmtId="179" fontId="38" fillId="0" borderId="13" xfId="0" applyNumberFormat="1" applyFont="1" applyBorder="1" applyAlignment="1">
      <alignment vertical="center" shrinkToFit="1"/>
    </xf>
    <xf numFmtId="38" fontId="46" fillId="0" borderId="32" xfId="0" applyNumberFormat="1" applyFont="1" applyBorder="1" applyAlignment="1">
      <alignment vertical="center" shrinkToFit="1"/>
    </xf>
    <xf numFmtId="0" fontId="38" fillId="0" borderId="17" xfId="0" applyNumberFormat="1" applyFont="1" applyFill="1" applyBorder="1" applyAlignment="1" applyProtection="1">
      <alignment vertical="center" wrapText="1"/>
    </xf>
    <xf numFmtId="177" fontId="38" fillId="0" borderId="13" xfId="2" applyNumberFormat="1" applyFont="1" applyBorder="1" applyAlignment="1">
      <alignment horizontal="left" vertical="center" shrinkToFit="1"/>
    </xf>
    <xf numFmtId="180" fontId="38" fillId="0" borderId="13" xfId="0" applyNumberFormat="1" applyFont="1" applyBorder="1" applyAlignment="1">
      <alignment vertical="center" shrinkToFit="1"/>
    </xf>
    <xf numFmtId="0" fontId="38" fillId="0" borderId="14" xfId="0" applyNumberFormat="1" applyFont="1" applyFill="1" applyBorder="1" applyAlignment="1" applyProtection="1">
      <alignment vertical="center" wrapText="1"/>
    </xf>
    <xf numFmtId="0" fontId="38" fillId="0" borderId="15" xfId="0" applyFont="1" applyBorder="1" applyAlignment="1">
      <alignment vertical="center"/>
    </xf>
    <xf numFmtId="193" fontId="38" fillId="0" borderId="14" xfId="2" applyNumberFormat="1" applyFont="1" applyFill="1" applyBorder="1" applyAlignment="1">
      <alignment horizontal="center" vertical="center"/>
    </xf>
    <xf numFmtId="0" fontId="38" fillId="0" borderId="14" xfId="0" applyFont="1" applyBorder="1" applyAlignment="1">
      <alignment vertical="center"/>
    </xf>
    <xf numFmtId="0" fontId="38" fillId="0" borderId="60" xfId="0" applyFont="1" applyBorder="1" applyAlignment="1">
      <alignment vertical="center"/>
    </xf>
    <xf numFmtId="2" fontId="46" fillId="14" borderId="50" xfId="2" applyNumberFormat="1" applyFont="1" applyFill="1" applyBorder="1" applyAlignment="1" applyProtection="1">
      <alignment horizontal="center" vertical="center" shrinkToFit="1"/>
    </xf>
    <xf numFmtId="2" fontId="38" fillId="14" borderId="16" xfId="2" applyNumberFormat="1" applyFont="1" applyFill="1" applyBorder="1" applyAlignment="1" applyProtection="1">
      <alignment horizontal="center" vertical="center" shrinkToFit="1"/>
    </xf>
    <xf numFmtId="0" fontId="41" fillId="0" borderId="0" xfId="0" applyFont="1" applyFill="1" applyAlignment="1">
      <alignment vertical="center"/>
    </xf>
    <xf numFmtId="0" fontId="38" fillId="0" borderId="4" xfId="2" applyNumberFormat="1" applyFont="1" applyFill="1" applyBorder="1" applyAlignment="1">
      <alignment horizontal="center" vertical="center"/>
    </xf>
    <xf numFmtId="0" fontId="38" fillId="0" borderId="13" xfId="2" applyNumberFormat="1" applyFont="1" applyFill="1" applyBorder="1" applyAlignment="1">
      <alignment horizontal="left" vertical="center"/>
    </xf>
    <xf numFmtId="41" fontId="38" fillId="0" borderId="13" xfId="2" applyFont="1" applyFill="1" applyBorder="1" applyAlignment="1">
      <alignment horizontal="center" vertical="center"/>
    </xf>
    <xf numFmtId="179" fontId="38" fillId="0" borderId="13" xfId="2" applyNumberFormat="1" applyFont="1" applyFill="1" applyBorder="1" applyAlignment="1">
      <alignment horizontal="right" vertical="center"/>
    </xf>
    <xf numFmtId="180" fontId="38" fillId="0" borderId="13" xfId="2" applyNumberFormat="1" applyFont="1" applyFill="1" applyBorder="1" applyAlignment="1">
      <alignment vertical="center"/>
    </xf>
    <xf numFmtId="41" fontId="46" fillId="0" borderId="32" xfId="2" applyFont="1" applyFill="1" applyBorder="1" applyAlignment="1">
      <alignment horizontal="center" vertical="center"/>
    </xf>
    <xf numFmtId="0" fontId="38" fillId="0" borderId="35" xfId="2" applyNumberFormat="1" applyFont="1" applyBorder="1" applyAlignment="1">
      <alignment horizontal="center" vertical="center"/>
    </xf>
    <xf numFmtId="0" fontId="38" fillId="0" borderId="4" xfId="2" applyNumberFormat="1" applyFont="1" applyBorder="1" applyAlignment="1">
      <alignment horizontal="center" vertical="center"/>
    </xf>
    <xf numFmtId="0" fontId="38" fillId="0" borderId="34" xfId="2" applyNumberFormat="1" applyFont="1" applyBorder="1" applyAlignment="1">
      <alignment horizontal="center" vertical="center"/>
    </xf>
    <xf numFmtId="182" fontId="38" fillId="0" borderId="13" xfId="2" applyNumberFormat="1" applyFont="1" applyFill="1" applyBorder="1" applyAlignment="1">
      <alignment vertical="center"/>
    </xf>
    <xf numFmtId="179" fontId="38" fillId="0" borderId="0" xfId="0" applyNumberFormat="1" applyFont="1" applyFill="1" applyBorder="1" applyAlignment="1" applyProtection="1">
      <alignment vertical="center" shrinkToFit="1"/>
    </xf>
    <xf numFmtId="177" fontId="38" fillId="14" borderId="34" xfId="2" applyNumberFormat="1" applyFont="1" applyFill="1" applyBorder="1" applyAlignment="1">
      <alignment horizontal="center" vertical="center"/>
    </xf>
    <xf numFmtId="177" fontId="38" fillId="14" borderId="18" xfId="2" applyNumberFormat="1" applyFont="1" applyFill="1" applyBorder="1" applyAlignment="1">
      <alignment horizontal="left" vertical="center"/>
    </xf>
    <xf numFmtId="178" fontId="38" fillId="14" borderId="18" xfId="2" applyNumberFormat="1" applyFont="1" applyFill="1" applyBorder="1" applyAlignment="1">
      <alignment horizontal="right" vertical="center"/>
    </xf>
    <xf numFmtId="177" fontId="38" fillId="14" borderId="18" xfId="2" applyNumberFormat="1" applyFont="1" applyFill="1" applyBorder="1" applyAlignment="1">
      <alignment horizontal="right" vertical="center"/>
    </xf>
    <xf numFmtId="183" fontId="38" fillId="14" borderId="18" xfId="2" applyNumberFormat="1" applyFont="1" applyFill="1" applyBorder="1" applyAlignment="1">
      <alignment vertical="center"/>
    </xf>
    <xf numFmtId="179" fontId="38" fillId="14" borderId="18" xfId="2" applyNumberFormat="1" applyFont="1" applyFill="1" applyBorder="1" applyAlignment="1">
      <alignment horizontal="right" vertical="center"/>
    </xf>
    <xf numFmtId="177" fontId="46" fillId="14" borderId="39" xfId="2" applyNumberFormat="1" applyFont="1" applyFill="1" applyBorder="1" applyAlignment="1">
      <alignment horizontal="right" vertical="center"/>
    </xf>
    <xf numFmtId="177" fontId="38" fillId="0" borderId="4" xfId="2" applyNumberFormat="1" applyFont="1" applyFill="1" applyBorder="1" applyAlignment="1">
      <alignment horizontal="center" vertical="center"/>
    </xf>
    <xf numFmtId="177" fontId="38" fillId="0" borderId="13" xfId="2" applyNumberFormat="1" applyFont="1" applyFill="1" applyBorder="1" applyAlignment="1">
      <alignment horizontal="left" vertical="center"/>
    </xf>
    <xf numFmtId="177" fontId="38" fillId="0" borderId="36" xfId="2" applyNumberFormat="1" applyFont="1" applyFill="1" applyBorder="1" applyAlignment="1">
      <alignment horizontal="center" vertical="center"/>
    </xf>
    <xf numFmtId="178" fontId="38" fillId="0" borderId="16" xfId="2" applyNumberFormat="1" applyFont="1" applyFill="1" applyBorder="1" applyAlignment="1">
      <alignment horizontal="right" vertical="center"/>
    </xf>
    <xf numFmtId="41" fontId="38" fillId="0" borderId="16" xfId="2" applyFont="1" applyFill="1" applyBorder="1" applyAlignment="1">
      <alignment horizontal="center" vertical="center"/>
    </xf>
    <xf numFmtId="179" fontId="38" fillId="0" borderId="16" xfId="0" applyNumberFormat="1" applyFont="1" applyFill="1" applyBorder="1" applyAlignment="1" applyProtection="1">
      <alignment horizontal="right" vertical="center" shrinkToFit="1"/>
    </xf>
    <xf numFmtId="177" fontId="38" fillId="14" borderId="36" xfId="2" applyNumberFormat="1" applyFont="1" applyFill="1" applyBorder="1" applyAlignment="1">
      <alignment horizontal="center" vertical="center"/>
    </xf>
    <xf numFmtId="177" fontId="38" fillId="14" borderId="16" xfId="2" applyNumberFormat="1" applyFont="1" applyFill="1" applyBorder="1" applyAlignment="1">
      <alignment horizontal="left" vertical="center"/>
    </xf>
    <xf numFmtId="178" fontId="38" fillId="14" borderId="16" xfId="2" applyNumberFormat="1" applyFont="1" applyFill="1" applyBorder="1" applyAlignment="1">
      <alignment horizontal="right" vertical="center"/>
    </xf>
    <xf numFmtId="177" fontId="38" fillId="14" borderId="16" xfId="2" applyNumberFormat="1" applyFont="1" applyFill="1" applyBorder="1" applyAlignment="1">
      <alignment horizontal="right" vertical="center"/>
    </xf>
    <xf numFmtId="183" fontId="38" fillId="14" borderId="16" xfId="2" applyNumberFormat="1" applyFont="1" applyFill="1" applyBorder="1" applyAlignment="1">
      <alignment vertical="center"/>
    </xf>
    <xf numFmtId="183" fontId="38" fillId="0" borderId="13" xfId="2" applyNumberFormat="1" applyFont="1" applyFill="1" applyBorder="1" applyAlignment="1">
      <alignment vertical="center"/>
    </xf>
    <xf numFmtId="41" fontId="46" fillId="0" borderId="32" xfId="2" applyFont="1" applyFill="1" applyBorder="1" applyAlignment="1">
      <alignment vertical="center"/>
    </xf>
    <xf numFmtId="184" fontId="38" fillId="0" borderId="13" xfId="0" applyNumberFormat="1" applyFont="1" applyFill="1" applyBorder="1" applyAlignment="1" applyProtection="1">
      <alignment vertical="center" shrinkToFit="1"/>
    </xf>
    <xf numFmtId="41" fontId="38" fillId="0" borderId="37" xfId="2" applyFont="1" applyFill="1" applyBorder="1" applyAlignment="1">
      <alignment vertical="center"/>
    </xf>
    <xf numFmtId="180" fontId="38" fillId="0" borderId="16" xfId="0" applyNumberFormat="1" applyFont="1" applyFill="1" applyBorder="1" applyAlignment="1" applyProtection="1">
      <alignment vertical="center" shrinkToFit="1"/>
    </xf>
    <xf numFmtId="177" fontId="38" fillId="0" borderId="16" xfId="2" applyNumberFormat="1" applyFont="1" applyFill="1" applyBorder="1" applyAlignment="1">
      <alignment horizontal="right" vertical="center"/>
    </xf>
    <xf numFmtId="183" fontId="38" fillId="0" borderId="16" xfId="2" applyNumberFormat="1" applyFont="1" applyFill="1" applyBorder="1" applyAlignment="1">
      <alignment vertical="center"/>
    </xf>
    <xf numFmtId="179" fontId="38" fillId="0" borderId="16" xfId="2" applyNumberFormat="1" applyFont="1" applyFill="1" applyBorder="1" applyAlignment="1">
      <alignment horizontal="right" vertical="center"/>
    </xf>
    <xf numFmtId="41" fontId="46" fillId="0" borderId="52" xfId="2" applyFont="1" applyFill="1" applyBorder="1" applyAlignment="1">
      <alignment vertical="center"/>
    </xf>
    <xf numFmtId="177" fontId="38" fillId="0" borderId="34" xfId="2" applyNumberFormat="1" applyFont="1" applyFill="1" applyBorder="1" applyAlignment="1">
      <alignment horizontal="center" vertical="center"/>
    </xf>
    <xf numFmtId="177" fontId="38" fillId="0" borderId="18" xfId="2" applyNumberFormat="1" applyFont="1" applyFill="1" applyBorder="1" applyAlignment="1">
      <alignment horizontal="left" vertical="center"/>
    </xf>
    <xf numFmtId="178" fontId="38" fillId="0" borderId="18" xfId="2" applyNumberFormat="1" applyFont="1" applyFill="1" applyBorder="1" applyAlignment="1">
      <alignment horizontal="right" vertical="center"/>
    </xf>
    <xf numFmtId="41" fontId="38" fillId="0" borderId="18" xfId="2" applyFont="1" applyFill="1" applyBorder="1" applyAlignment="1">
      <alignment horizontal="center" vertical="center"/>
    </xf>
    <xf numFmtId="177" fontId="38" fillId="0" borderId="0" xfId="2" applyNumberFormat="1" applyFont="1" applyFill="1" applyBorder="1" applyAlignment="1">
      <alignment horizontal="left" vertical="center" wrapText="1"/>
    </xf>
    <xf numFmtId="184" fontId="38" fillId="0" borderId="0" xfId="0" applyNumberFormat="1" applyFont="1" applyFill="1" applyBorder="1" applyAlignment="1" applyProtection="1">
      <alignment vertical="center" shrinkToFit="1"/>
    </xf>
    <xf numFmtId="191" fontId="38" fillId="0" borderId="0" xfId="2" applyNumberFormat="1" applyFont="1" applyFill="1" applyBorder="1" applyAlignment="1">
      <alignment vertical="center"/>
    </xf>
    <xf numFmtId="177" fontId="38" fillId="0" borderId="13" xfId="2" applyNumberFormat="1" applyFont="1" applyFill="1" applyBorder="1" applyAlignment="1">
      <alignment vertical="center"/>
    </xf>
    <xf numFmtId="177" fontId="46" fillId="14" borderId="56" xfId="2" applyNumberFormat="1" applyFont="1" applyFill="1" applyBorder="1" applyAlignment="1">
      <alignment horizontal="center" vertical="center"/>
    </xf>
    <xf numFmtId="178" fontId="46" fillId="14" borderId="50" xfId="2" applyNumberFormat="1" applyFont="1" applyFill="1" applyBorder="1" applyAlignment="1">
      <alignment horizontal="right" vertical="center"/>
    </xf>
    <xf numFmtId="177" fontId="46" fillId="14" borderId="50" xfId="2" applyNumberFormat="1" applyFont="1" applyFill="1" applyBorder="1" applyAlignment="1">
      <alignment horizontal="right" vertical="center"/>
    </xf>
    <xf numFmtId="183" fontId="46" fillId="14" borderId="50" xfId="2" applyNumberFormat="1" applyFont="1" applyFill="1" applyBorder="1" applyAlignment="1">
      <alignment vertical="center"/>
    </xf>
    <xf numFmtId="179" fontId="46" fillId="14" borderId="50" xfId="2" applyNumberFormat="1" applyFont="1" applyFill="1" applyBorder="1" applyAlignment="1">
      <alignment horizontal="right" vertical="center"/>
    </xf>
    <xf numFmtId="177" fontId="38" fillId="14" borderId="22" xfId="2" applyNumberFormat="1" applyFont="1" applyFill="1" applyBorder="1" applyAlignment="1">
      <alignment horizontal="center" vertical="center"/>
    </xf>
    <xf numFmtId="177" fontId="38" fillId="14" borderId="58" xfId="2" applyNumberFormat="1" applyFont="1" applyFill="1" applyBorder="1" applyAlignment="1">
      <alignment horizontal="right" vertical="center"/>
    </xf>
    <xf numFmtId="183" fontId="38" fillId="14" borderId="58" xfId="2" applyNumberFormat="1" applyFont="1" applyFill="1" applyBorder="1" applyAlignment="1">
      <alignment vertical="center"/>
    </xf>
    <xf numFmtId="185" fontId="38" fillId="0" borderId="13" xfId="0" applyNumberFormat="1" applyFont="1" applyFill="1" applyBorder="1" applyAlignment="1" applyProtection="1">
      <alignment vertical="center" shrinkToFit="1"/>
    </xf>
    <xf numFmtId="177" fontId="46" fillId="14" borderId="50" xfId="2" applyNumberFormat="1" applyFont="1" applyFill="1" applyBorder="1" applyAlignment="1">
      <alignment vertical="center"/>
    </xf>
    <xf numFmtId="41" fontId="46" fillId="14" borderId="57" xfId="2" applyFont="1" applyFill="1" applyBorder="1" applyAlignment="1">
      <alignment vertical="center"/>
    </xf>
    <xf numFmtId="177" fontId="38" fillId="14" borderId="35" xfId="2" applyNumberFormat="1" applyFont="1" applyFill="1" applyBorder="1" applyAlignment="1">
      <alignment horizontal="center" vertical="center"/>
    </xf>
    <xf numFmtId="178" fontId="38" fillId="14" borderId="0" xfId="2" applyNumberFormat="1" applyFont="1" applyFill="1" applyBorder="1" applyAlignment="1">
      <alignment horizontal="right" vertical="center"/>
    </xf>
    <xf numFmtId="177" fontId="38" fillId="14" borderId="0" xfId="2" applyNumberFormat="1" applyFont="1" applyFill="1" applyBorder="1" applyAlignment="1">
      <alignment vertical="center"/>
    </xf>
    <xf numFmtId="183" fontId="38" fillId="14" borderId="0" xfId="2" applyNumberFormat="1" applyFont="1" applyFill="1" applyBorder="1" applyAlignment="1">
      <alignment vertical="center"/>
    </xf>
    <xf numFmtId="179" fontId="38" fillId="14" borderId="0" xfId="2" applyNumberFormat="1" applyFont="1" applyFill="1" applyBorder="1" applyAlignment="1">
      <alignment horizontal="right" vertical="center"/>
    </xf>
    <xf numFmtId="41" fontId="46" fillId="14" borderId="37" xfId="2" applyFont="1" applyFill="1" applyBorder="1" applyAlignment="1">
      <alignment vertical="center"/>
    </xf>
    <xf numFmtId="179" fontId="38" fillId="0" borderId="0" xfId="0" applyNumberFormat="1" applyFont="1" applyFill="1" applyBorder="1" applyAlignment="1" applyProtection="1">
      <alignment horizontal="left" vertical="center" shrinkToFit="1"/>
    </xf>
    <xf numFmtId="177" fontId="46" fillId="0" borderId="52" xfId="0" applyNumberFormat="1" applyFont="1" applyFill="1" applyBorder="1" applyAlignment="1" applyProtection="1">
      <alignment horizontal="right" vertical="center" shrinkToFit="1"/>
    </xf>
    <xf numFmtId="177" fontId="38" fillId="0" borderId="18" xfId="2" applyNumberFormat="1" applyFont="1" applyFill="1" applyBorder="1" applyAlignment="1">
      <alignment horizontal="left" vertical="center" shrinkToFit="1"/>
    </xf>
    <xf numFmtId="38" fontId="38" fillId="0" borderId="15" xfId="0" applyNumberFormat="1" applyFont="1" applyBorder="1" applyAlignment="1">
      <alignment vertical="center"/>
    </xf>
    <xf numFmtId="177" fontId="38" fillId="0" borderId="13" xfId="2" applyNumberFormat="1" applyFont="1" applyFill="1" applyBorder="1" applyAlignment="1">
      <alignment horizontal="left" vertical="center" shrinkToFit="1"/>
    </xf>
    <xf numFmtId="185" fontId="38" fillId="0" borderId="16" xfId="0" applyNumberFormat="1" applyFont="1" applyFill="1" applyBorder="1" applyAlignment="1" applyProtection="1">
      <alignment vertical="center" shrinkToFit="1"/>
    </xf>
    <xf numFmtId="177" fontId="46" fillId="0" borderId="52" xfId="2" applyNumberFormat="1" applyFont="1" applyFill="1" applyBorder="1" applyAlignment="1">
      <alignment horizontal="right" vertical="center"/>
    </xf>
    <xf numFmtId="38" fontId="38" fillId="0" borderId="14" xfId="0" applyNumberFormat="1" applyFont="1" applyBorder="1" applyAlignment="1">
      <alignment vertical="center"/>
    </xf>
    <xf numFmtId="179" fontId="38" fillId="0" borderId="18" xfId="0" applyNumberFormat="1" applyFont="1" applyFill="1" applyBorder="1" applyAlignment="1" applyProtection="1">
      <alignment vertical="center" shrinkToFit="1"/>
    </xf>
    <xf numFmtId="177" fontId="38" fillId="0" borderId="18" xfId="2" applyNumberFormat="1" applyFont="1" applyFill="1" applyBorder="1" applyAlignment="1">
      <alignment horizontal="right" vertical="center"/>
    </xf>
    <xf numFmtId="179" fontId="38" fillId="0" borderId="18" xfId="2" applyNumberFormat="1" applyFont="1" applyFill="1" applyBorder="1" applyAlignment="1">
      <alignment horizontal="right" vertical="center"/>
    </xf>
    <xf numFmtId="184" fontId="38" fillId="0" borderId="0" xfId="0" applyNumberFormat="1" applyFont="1" applyFill="1" applyBorder="1" applyAlignment="1" applyProtection="1">
      <alignment horizontal="right" vertical="center" shrinkToFit="1"/>
    </xf>
    <xf numFmtId="177" fontId="38" fillId="14" borderId="16" xfId="2" applyNumberFormat="1" applyFont="1" applyFill="1" applyBorder="1" applyAlignment="1">
      <alignment vertical="center"/>
    </xf>
    <xf numFmtId="179" fontId="38" fillId="14" borderId="16" xfId="2" applyNumberFormat="1" applyFont="1" applyFill="1" applyBorder="1" applyAlignment="1">
      <alignment horizontal="right" vertical="center"/>
    </xf>
    <xf numFmtId="41" fontId="46" fillId="14" borderId="52" xfId="2" applyFont="1" applyFill="1" applyBorder="1" applyAlignment="1">
      <alignment vertical="center"/>
    </xf>
    <xf numFmtId="177" fontId="38" fillId="0" borderId="16" xfId="2" applyNumberFormat="1" applyFont="1" applyFill="1" applyBorder="1" applyAlignment="1">
      <alignment horizontal="left" vertical="center" shrinkToFit="1"/>
    </xf>
    <xf numFmtId="185" fontId="38" fillId="0" borderId="0" xfId="0" applyNumberFormat="1" applyFont="1" applyFill="1" applyBorder="1" applyAlignment="1" applyProtection="1">
      <alignment vertical="center" shrinkToFit="1"/>
    </xf>
    <xf numFmtId="177" fontId="46" fillId="14" borderId="38" xfId="2" applyNumberFormat="1" applyFont="1" applyFill="1" applyBorder="1" applyAlignment="1">
      <alignment vertical="center"/>
    </xf>
    <xf numFmtId="41" fontId="46" fillId="14" borderId="38" xfId="2" applyFont="1" applyFill="1" applyBorder="1" applyAlignment="1">
      <alignment vertical="center"/>
    </xf>
    <xf numFmtId="177" fontId="46" fillId="14" borderId="48" xfId="2" applyNumberFormat="1" applyFont="1" applyFill="1" applyBorder="1" applyAlignment="1">
      <alignment vertical="center"/>
    </xf>
    <xf numFmtId="41" fontId="38" fillId="0" borderId="4" xfId="2" applyFont="1" applyFill="1" applyBorder="1" applyAlignment="1">
      <alignment horizontal="center" vertical="center"/>
    </xf>
    <xf numFmtId="38" fontId="38" fillId="0" borderId="1" xfId="0" applyNumberFormat="1" applyFont="1" applyBorder="1" applyAlignment="1">
      <alignment vertical="center"/>
    </xf>
    <xf numFmtId="177" fontId="38" fillId="0" borderId="1" xfId="2" applyNumberFormat="1" applyFont="1" applyFill="1" applyBorder="1" applyAlignment="1" applyProtection="1">
      <alignment horizontal="right" vertical="center" shrinkToFit="1"/>
    </xf>
    <xf numFmtId="2" fontId="38" fillId="0" borderId="1" xfId="2" applyNumberFormat="1" applyFont="1" applyFill="1" applyBorder="1" applyAlignment="1" applyProtection="1">
      <alignment horizontal="center" vertical="center" shrinkToFit="1"/>
    </xf>
    <xf numFmtId="0" fontId="38" fillId="0" borderId="1" xfId="0" applyFont="1" applyBorder="1" applyAlignment="1">
      <alignment vertical="center"/>
    </xf>
    <xf numFmtId="177" fontId="38" fillId="0" borderId="1" xfId="2" applyNumberFormat="1" applyFont="1" applyBorder="1" applyAlignment="1">
      <alignment horizontal="right" vertical="center"/>
    </xf>
    <xf numFmtId="178" fontId="38" fillId="0" borderId="0" xfId="2" applyNumberFormat="1" applyFont="1" applyFill="1" applyBorder="1" applyAlignment="1">
      <alignment vertical="center" wrapText="1"/>
    </xf>
    <xf numFmtId="0" fontId="38" fillId="0" borderId="36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177" fontId="38" fillId="14" borderId="58" xfId="2" applyNumberFormat="1" applyFont="1" applyFill="1" applyBorder="1" applyAlignment="1">
      <alignment vertical="center"/>
    </xf>
    <xf numFmtId="41" fontId="38" fillId="14" borderId="58" xfId="2" applyFont="1" applyFill="1" applyBorder="1" applyAlignment="1">
      <alignment vertical="center"/>
    </xf>
    <xf numFmtId="177" fontId="46" fillId="14" borderId="31" xfId="2" applyNumberFormat="1" applyFont="1" applyFill="1" applyBorder="1" applyAlignment="1">
      <alignment vertical="center"/>
    </xf>
    <xf numFmtId="0" fontId="38" fillId="0" borderId="17" xfId="0" applyFont="1" applyBorder="1" applyAlignment="1">
      <alignment vertical="center"/>
    </xf>
    <xf numFmtId="178" fontId="38" fillId="0" borderId="0" xfId="2" applyNumberFormat="1" applyFont="1" applyFill="1" applyBorder="1" applyAlignment="1">
      <alignment vertical="center"/>
    </xf>
    <xf numFmtId="41" fontId="12" fillId="14" borderId="12" xfId="0" applyNumberFormat="1" applyFont="1" applyFill="1" applyBorder="1" applyAlignment="1">
      <alignment horizontal="center" vertical="center" shrinkToFit="1"/>
    </xf>
    <xf numFmtId="177" fontId="38" fillId="14" borderId="6" xfId="2" applyNumberFormat="1" applyFont="1" applyFill="1" applyBorder="1" applyAlignment="1">
      <alignment vertical="center"/>
    </xf>
    <xf numFmtId="177" fontId="38" fillId="0" borderId="1" xfId="0" applyNumberFormat="1" applyFont="1" applyBorder="1" applyAlignment="1">
      <alignment vertical="center"/>
    </xf>
    <xf numFmtId="177" fontId="38" fillId="12" borderId="1" xfId="0" applyNumberFormat="1" applyFont="1" applyFill="1" applyBorder="1" applyAlignment="1">
      <alignment vertical="center"/>
    </xf>
    <xf numFmtId="177" fontId="38" fillId="0" borderId="26" xfId="0" applyNumberFormat="1" applyFont="1" applyBorder="1" applyAlignment="1">
      <alignment vertical="center"/>
    </xf>
    <xf numFmtId="177" fontId="38" fillId="0" borderId="1" xfId="2" applyNumberFormat="1" applyFont="1" applyBorder="1" applyAlignment="1">
      <alignment vertical="center"/>
    </xf>
    <xf numFmtId="177" fontId="38" fillId="0" borderId="9" xfId="2" applyNumberFormat="1" applyFont="1" applyBorder="1" applyAlignment="1">
      <alignment vertical="center"/>
    </xf>
    <xf numFmtId="0" fontId="38" fillId="0" borderId="41" xfId="0" applyFont="1" applyBorder="1" applyAlignment="1">
      <alignment vertical="center"/>
    </xf>
    <xf numFmtId="0" fontId="38" fillId="0" borderId="62" xfId="0" applyFont="1" applyBorder="1" applyAlignment="1">
      <alignment vertical="center"/>
    </xf>
    <xf numFmtId="0" fontId="38" fillId="0" borderId="42" xfId="0" applyFont="1" applyBorder="1" applyAlignment="1">
      <alignment vertical="center"/>
    </xf>
    <xf numFmtId="0" fontId="38" fillId="0" borderId="45" xfId="0" applyFont="1" applyBorder="1" applyAlignment="1">
      <alignment vertical="center"/>
    </xf>
    <xf numFmtId="0" fontId="38" fillId="0" borderId="61" xfId="0" applyFont="1" applyBorder="1" applyAlignment="1">
      <alignment vertical="center"/>
    </xf>
    <xf numFmtId="0" fontId="38" fillId="0" borderId="1" xfId="0" applyFont="1" applyBorder="1" applyAlignment="1">
      <alignment horizontal="left" vertical="center"/>
    </xf>
    <xf numFmtId="177" fontId="38" fillId="0" borderId="17" xfId="0" applyNumberFormat="1" applyFont="1" applyBorder="1" applyAlignment="1">
      <alignment vertical="center"/>
    </xf>
    <xf numFmtId="177" fontId="38" fillId="0" borderId="14" xfId="0" applyNumberFormat="1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177" fontId="38" fillId="0" borderId="15" xfId="0" applyNumberFormat="1" applyFont="1" applyBorder="1" applyAlignment="1">
      <alignment vertical="center"/>
    </xf>
    <xf numFmtId="0" fontId="38" fillId="0" borderId="46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177" fontId="38" fillId="12" borderId="15" xfId="0" applyNumberFormat="1" applyFont="1" applyFill="1" applyBorder="1" applyAlignment="1">
      <alignment vertical="center"/>
    </xf>
    <xf numFmtId="177" fontId="38" fillId="0" borderId="15" xfId="0" applyNumberFormat="1" applyFont="1" applyBorder="1" applyAlignment="1">
      <alignment horizontal="right" vertical="center"/>
    </xf>
    <xf numFmtId="177" fontId="38" fillId="0" borderId="15" xfId="2" applyNumberFormat="1" applyFont="1" applyBorder="1" applyAlignment="1">
      <alignment vertical="center"/>
    </xf>
    <xf numFmtId="177" fontId="38" fillId="0" borderId="26" xfId="2" applyNumberFormat="1" applyFont="1" applyBorder="1" applyAlignment="1">
      <alignment vertical="center"/>
    </xf>
    <xf numFmtId="0" fontId="38" fillId="0" borderId="43" xfId="0" applyFont="1" applyBorder="1" applyAlignment="1">
      <alignment vertical="center"/>
    </xf>
    <xf numFmtId="177" fontId="38" fillId="0" borderId="43" xfId="0" applyNumberFormat="1" applyFont="1" applyBorder="1" applyAlignment="1">
      <alignment vertical="center"/>
    </xf>
    <xf numFmtId="177" fontId="38" fillId="0" borderId="44" xfId="0" applyNumberFormat="1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177" fontId="38" fillId="0" borderId="0" xfId="0" applyNumberFormat="1" applyFont="1" applyBorder="1" applyAlignment="1">
      <alignment vertical="center"/>
    </xf>
    <xf numFmtId="177" fontId="38" fillId="0" borderId="37" xfId="0" applyNumberFormat="1" applyFont="1" applyBorder="1" applyAlignment="1">
      <alignment vertical="center"/>
    </xf>
    <xf numFmtId="0" fontId="38" fillId="0" borderId="37" xfId="0" applyFont="1" applyBorder="1" applyAlignment="1">
      <alignment vertical="center"/>
    </xf>
    <xf numFmtId="38" fontId="38" fillId="0" borderId="3" xfId="0" applyNumberFormat="1" applyFont="1" applyBorder="1" applyAlignment="1">
      <alignment vertical="center"/>
    </xf>
    <xf numFmtId="0" fontId="38" fillId="0" borderId="15" xfId="0" applyFont="1" applyBorder="1" applyAlignment="1">
      <alignment horizontal="center" vertical="center"/>
    </xf>
    <xf numFmtId="38" fontId="38" fillId="0" borderId="20" xfId="0" applyNumberFormat="1" applyFont="1" applyBorder="1" applyAlignment="1">
      <alignment vertical="center"/>
    </xf>
    <xf numFmtId="0" fontId="38" fillId="0" borderId="34" xfId="0" applyFont="1" applyBorder="1" applyAlignment="1">
      <alignment vertical="center"/>
    </xf>
    <xf numFmtId="177" fontId="38" fillId="0" borderId="17" xfId="2" applyNumberFormat="1" applyFont="1" applyBorder="1" applyAlignment="1">
      <alignment vertical="center"/>
    </xf>
    <xf numFmtId="0" fontId="38" fillId="0" borderId="47" xfId="0" applyFont="1" applyBorder="1" applyAlignment="1">
      <alignment vertical="center"/>
    </xf>
    <xf numFmtId="0" fontId="38" fillId="0" borderId="40" xfId="0" applyFont="1" applyBorder="1" applyAlignment="1">
      <alignment vertical="center"/>
    </xf>
    <xf numFmtId="177" fontId="38" fillId="0" borderId="11" xfId="0" applyNumberFormat="1" applyFont="1" applyBorder="1" applyAlignment="1">
      <alignment vertical="center"/>
    </xf>
    <xf numFmtId="177" fontId="38" fillId="0" borderId="11" xfId="2" applyNumberFormat="1" applyFont="1" applyBorder="1" applyAlignment="1">
      <alignment vertical="center"/>
    </xf>
    <xf numFmtId="177" fontId="38" fillId="0" borderId="12" xfId="2" applyNumberFormat="1" applyFont="1" applyBorder="1" applyAlignment="1">
      <alignment vertical="center"/>
    </xf>
    <xf numFmtId="0" fontId="38" fillId="0" borderId="16" xfId="0" applyNumberFormat="1" applyFont="1" applyFill="1" applyBorder="1" applyAlignment="1" applyProtection="1">
      <alignment horizontal="right" vertical="center" shrinkToFit="1"/>
    </xf>
    <xf numFmtId="38" fontId="38" fillId="0" borderId="14" xfId="0" applyNumberFormat="1" applyFont="1" applyBorder="1" applyAlignment="1">
      <alignment vertical="center" wrapText="1"/>
    </xf>
    <xf numFmtId="177" fontId="38" fillId="0" borderId="38" xfId="2" applyNumberFormat="1" applyFont="1" applyFill="1" applyBorder="1" applyAlignment="1">
      <alignment horizontal="right" vertical="center"/>
    </xf>
    <xf numFmtId="179" fontId="38" fillId="0" borderId="38" xfId="2" applyNumberFormat="1" applyFont="1" applyFill="1" applyBorder="1" applyAlignment="1">
      <alignment horizontal="right" vertical="center"/>
    </xf>
    <xf numFmtId="0" fontId="38" fillId="0" borderId="18" xfId="2" applyNumberFormat="1" applyFont="1" applyFill="1" applyBorder="1" applyAlignment="1">
      <alignment horizontal="left" vertical="center"/>
    </xf>
    <xf numFmtId="41" fontId="12" fillId="14" borderId="11" xfId="0" applyNumberFormat="1" applyFont="1" applyFill="1" applyBorder="1" applyAlignment="1">
      <alignment horizontal="center" vertical="center" shrinkToFit="1"/>
    </xf>
    <xf numFmtId="0" fontId="38" fillId="0" borderId="4" xfId="0" applyFont="1" applyBorder="1" applyAlignment="1">
      <alignment horizontal="left" vertical="center"/>
    </xf>
    <xf numFmtId="0" fontId="38" fillId="0" borderId="3" xfId="0" applyFont="1" applyBorder="1" applyAlignment="1">
      <alignment horizontal="left" vertical="center"/>
    </xf>
    <xf numFmtId="0" fontId="38" fillId="0" borderId="3" xfId="0" applyFont="1" applyBorder="1" applyAlignment="1">
      <alignment vertical="center"/>
    </xf>
    <xf numFmtId="0" fontId="38" fillId="0" borderId="20" xfId="0" applyFont="1" applyBorder="1" applyAlignment="1">
      <alignment horizontal="left" vertical="center"/>
    </xf>
    <xf numFmtId="177" fontId="46" fillId="14" borderId="40" xfId="2" applyNumberFormat="1" applyFont="1" applyFill="1" applyBorder="1" applyAlignment="1">
      <alignment horizontal="right" vertical="center"/>
    </xf>
    <xf numFmtId="177" fontId="46" fillId="14" borderId="38" xfId="2" applyNumberFormat="1" applyFont="1" applyFill="1" applyBorder="1" applyAlignment="1">
      <alignment horizontal="left" vertical="center"/>
    </xf>
    <xf numFmtId="177" fontId="46" fillId="14" borderId="48" xfId="2" applyNumberFormat="1" applyFont="1" applyFill="1" applyBorder="1" applyAlignment="1">
      <alignment horizontal="right" vertical="center"/>
    </xf>
    <xf numFmtId="177" fontId="38" fillId="0" borderId="75" xfId="2" applyNumberFormat="1" applyFont="1" applyFill="1" applyBorder="1" applyAlignment="1">
      <alignment horizontal="right" vertical="center"/>
    </xf>
    <xf numFmtId="177" fontId="46" fillId="14" borderId="60" xfId="2" applyNumberFormat="1" applyFont="1" applyFill="1" applyBorder="1" applyAlignment="1">
      <alignment horizontal="right" vertical="center"/>
    </xf>
    <xf numFmtId="177" fontId="46" fillId="14" borderId="75" xfId="2" applyNumberFormat="1" applyFont="1" applyFill="1" applyBorder="1" applyAlignment="1" applyProtection="1">
      <alignment horizontal="right" vertical="center" shrinkToFit="1"/>
    </xf>
    <xf numFmtId="2" fontId="46" fillId="14" borderId="75" xfId="2" applyNumberFormat="1" applyFont="1" applyFill="1" applyBorder="1" applyAlignment="1" applyProtection="1">
      <alignment horizontal="center" vertical="center" shrinkToFit="1"/>
    </xf>
    <xf numFmtId="178" fontId="46" fillId="14" borderId="38" xfId="2" applyNumberFormat="1" applyFont="1" applyFill="1" applyBorder="1" applyAlignment="1">
      <alignment horizontal="left" vertical="center"/>
    </xf>
    <xf numFmtId="183" fontId="46" fillId="14" borderId="38" xfId="2" applyNumberFormat="1" applyFont="1" applyFill="1" applyBorder="1" applyAlignment="1">
      <alignment horizontal="left" vertical="center"/>
    </xf>
    <xf numFmtId="179" fontId="46" fillId="14" borderId="38" xfId="2" applyNumberFormat="1" applyFont="1" applyFill="1" applyBorder="1" applyAlignment="1">
      <alignment horizontal="left" vertical="center"/>
    </xf>
    <xf numFmtId="177" fontId="38" fillId="15" borderId="59" xfId="2" applyNumberFormat="1" applyFont="1" applyFill="1" applyBorder="1" applyAlignment="1">
      <alignment horizontal="right" vertical="center"/>
    </xf>
    <xf numFmtId="177" fontId="38" fillId="15" borderId="22" xfId="2" applyNumberFormat="1" applyFont="1" applyFill="1" applyBorder="1" applyAlignment="1">
      <alignment horizontal="right" vertical="center"/>
    </xf>
    <xf numFmtId="177" fontId="38" fillId="15" borderId="58" xfId="2" applyNumberFormat="1" applyFont="1" applyFill="1" applyBorder="1" applyAlignment="1">
      <alignment horizontal="left" vertical="center"/>
    </xf>
    <xf numFmtId="41" fontId="38" fillId="0" borderId="51" xfId="0" applyNumberFormat="1" applyFont="1" applyFill="1" applyBorder="1" applyAlignment="1">
      <alignment horizontal="center" vertical="center" shrinkToFit="1"/>
    </xf>
    <xf numFmtId="41" fontId="38" fillId="0" borderId="49" xfId="0" applyNumberFormat="1" applyFont="1" applyFill="1" applyBorder="1" applyAlignment="1">
      <alignment horizontal="center" vertical="center" shrinkToFit="1"/>
    </xf>
    <xf numFmtId="41" fontId="38" fillId="0" borderId="42" xfId="0" applyNumberFormat="1" applyFont="1" applyFill="1" applyBorder="1" applyAlignment="1">
      <alignment horizontal="center" vertical="center" shrinkToFit="1"/>
    </xf>
    <xf numFmtId="0" fontId="38" fillId="0" borderId="21" xfId="0" applyFont="1" applyFill="1" applyBorder="1" applyAlignment="1">
      <alignment horizontal="center" vertical="center" shrinkToFit="1"/>
    </xf>
    <xf numFmtId="0" fontId="38" fillId="0" borderId="60" xfId="0" applyFont="1" applyFill="1" applyBorder="1" applyAlignment="1">
      <alignment horizontal="center" vertical="center" shrinkToFit="1"/>
    </xf>
    <xf numFmtId="177" fontId="38" fillId="0" borderId="21" xfId="2" applyNumberFormat="1" applyFont="1" applyFill="1" applyBorder="1" applyAlignment="1">
      <alignment horizontal="right" vertical="center"/>
    </xf>
    <xf numFmtId="177" fontId="38" fillId="0" borderId="60" xfId="2" applyNumberFormat="1" applyFont="1" applyFill="1" applyBorder="1" applyAlignment="1">
      <alignment horizontal="right" vertical="center"/>
    </xf>
    <xf numFmtId="2" fontId="38" fillId="0" borderId="60" xfId="2" applyNumberFormat="1" applyFont="1" applyFill="1" applyBorder="1" applyAlignment="1" applyProtection="1">
      <alignment horizontal="center" vertical="center" shrinkToFit="1"/>
    </xf>
    <xf numFmtId="177" fontId="38" fillId="0" borderId="40" xfId="2" applyNumberFormat="1" applyFont="1" applyFill="1" applyBorder="1" applyAlignment="1">
      <alignment horizontal="center" vertical="center"/>
    </xf>
    <xf numFmtId="41" fontId="11" fillId="0" borderId="0" xfId="2" applyFont="1" applyBorder="1" applyAlignment="1">
      <alignment horizontal="center" vertical="center"/>
    </xf>
    <xf numFmtId="177" fontId="38" fillId="0" borderId="15" xfId="2" applyNumberFormat="1" applyFont="1" applyFill="1" applyBorder="1" applyAlignment="1">
      <alignment vertical="center"/>
    </xf>
    <xf numFmtId="0" fontId="38" fillId="0" borderId="49" xfId="0" applyFont="1" applyBorder="1" applyAlignment="1">
      <alignment vertical="center"/>
    </xf>
    <xf numFmtId="0" fontId="38" fillId="0" borderId="72" xfId="0" applyFont="1" applyBorder="1" applyAlignment="1">
      <alignment vertical="center"/>
    </xf>
    <xf numFmtId="177" fontId="38" fillId="12" borderId="11" xfId="0" applyNumberFormat="1" applyFont="1" applyFill="1" applyBorder="1" applyAlignment="1">
      <alignment vertical="center"/>
    </xf>
    <xf numFmtId="177" fontId="38" fillId="0" borderId="79" xfId="0" applyNumberFormat="1" applyFont="1" applyBorder="1" applyAlignment="1">
      <alignment vertical="center"/>
    </xf>
    <xf numFmtId="0" fontId="38" fillId="0" borderId="14" xfId="2" applyNumberFormat="1" applyFont="1" applyFill="1" applyBorder="1" applyAlignment="1">
      <alignment vertical="center"/>
    </xf>
    <xf numFmtId="0" fontId="38" fillId="0" borderId="19" xfId="0" applyFont="1" applyBorder="1" applyAlignment="1">
      <alignment vertical="center" shrinkToFit="1"/>
    </xf>
    <xf numFmtId="177" fontId="46" fillId="0" borderId="37" xfId="0" applyNumberFormat="1" applyFont="1" applyFill="1" applyBorder="1" applyAlignment="1" applyProtection="1">
      <alignment horizontal="right" vertical="center" shrinkToFit="1"/>
    </xf>
    <xf numFmtId="0" fontId="38" fillId="0" borderId="49" xfId="2" applyNumberFormat="1" applyFont="1" applyBorder="1" applyAlignment="1">
      <alignment vertical="center"/>
    </xf>
    <xf numFmtId="0" fontId="38" fillId="0" borderId="60" xfId="2" applyNumberFormat="1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177" fontId="38" fillId="0" borderId="11" xfId="2" applyNumberFormat="1" applyFont="1" applyBorder="1" applyAlignment="1">
      <alignment horizontal="right" vertical="center"/>
    </xf>
    <xf numFmtId="177" fontId="38" fillId="0" borderId="11" xfId="2" applyNumberFormat="1" applyFont="1" applyFill="1" applyBorder="1" applyAlignment="1" applyProtection="1">
      <alignment horizontal="right" vertical="center" shrinkToFit="1"/>
    </xf>
    <xf numFmtId="193" fontId="38" fillId="0" borderId="11" xfId="2" applyNumberFormat="1" applyFont="1" applyFill="1" applyBorder="1" applyAlignment="1">
      <alignment horizontal="center" vertical="center"/>
    </xf>
    <xf numFmtId="177" fontId="38" fillId="0" borderId="23" xfId="2" applyNumberFormat="1" applyFont="1" applyBorder="1" applyAlignment="1">
      <alignment horizontal="center" vertical="center"/>
    </xf>
    <xf numFmtId="177" fontId="38" fillId="0" borderId="76" xfId="2" applyNumberFormat="1" applyFont="1" applyBorder="1" applyAlignment="1">
      <alignment horizontal="left" vertical="center"/>
    </xf>
    <xf numFmtId="178" fontId="38" fillId="0" borderId="76" xfId="2" applyNumberFormat="1" applyFont="1" applyBorder="1" applyAlignment="1">
      <alignment shrinkToFit="1"/>
    </xf>
    <xf numFmtId="0" fontId="38" fillId="0" borderId="76" xfId="0" applyNumberFormat="1" applyFont="1" applyFill="1" applyBorder="1" applyAlignment="1" applyProtection="1">
      <alignment horizontal="right" vertical="center" shrinkToFit="1"/>
    </xf>
    <xf numFmtId="179" fontId="38" fillId="0" borderId="76" xfId="0" applyNumberFormat="1" applyFont="1" applyFill="1" applyBorder="1" applyAlignment="1" applyProtection="1">
      <alignment horizontal="right" vertical="center" shrinkToFit="1"/>
    </xf>
    <xf numFmtId="177" fontId="46" fillId="0" borderId="33" xfId="0" applyNumberFormat="1" applyFont="1" applyFill="1" applyBorder="1" applyAlignment="1" applyProtection="1">
      <alignment horizontal="right" vertical="center" shrinkToFit="1"/>
    </xf>
    <xf numFmtId="41" fontId="38" fillId="14" borderId="1" xfId="0" applyNumberFormat="1" applyFont="1" applyFill="1" applyBorder="1" applyAlignment="1">
      <alignment horizontal="center" vertical="center" shrinkToFit="1"/>
    </xf>
    <xf numFmtId="178" fontId="38" fillId="0" borderId="16" xfId="2" applyNumberFormat="1" applyFont="1" applyFill="1" applyBorder="1" applyAlignment="1">
      <alignment vertical="center"/>
    </xf>
    <xf numFmtId="177" fontId="38" fillId="0" borderId="34" xfId="2" applyNumberFormat="1" applyFont="1" applyFill="1" applyBorder="1" applyAlignment="1">
      <alignment horizontal="right" vertical="center"/>
    </xf>
    <xf numFmtId="177" fontId="38" fillId="0" borderId="34" xfId="2" applyNumberFormat="1" applyFont="1" applyBorder="1" applyAlignment="1">
      <alignment horizontal="center" vertical="center"/>
    </xf>
    <xf numFmtId="177" fontId="38" fillId="0" borderId="18" xfId="2" applyNumberFormat="1" applyFont="1" applyBorder="1" applyAlignment="1">
      <alignment horizontal="left" vertical="center"/>
    </xf>
    <xf numFmtId="183" fontId="38" fillId="0" borderId="18" xfId="2" applyNumberFormat="1" applyFont="1" applyFill="1" applyBorder="1" applyAlignment="1">
      <alignment horizontal="right" vertical="center"/>
    </xf>
    <xf numFmtId="41" fontId="38" fillId="0" borderId="18" xfId="2" applyFont="1" applyFill="1" applyBorder="1" applyAlignment="1">
      <alignment vertical="center"/>
    </xf>
    <xf numFmtId="179" fontId="38" fillId="0" borderId="18" xfId="2" applyNumberFormat="1" applyFont="1" applyFill="1" applyBorder="1" applyAlignment="1">
      <alignment vertical="center" shrinkToFit="1"/>
    </xf>
    <xf numFmtId="177" fontId="38" fillId="0" borderId="34" xfId="2" applyNumberFormat="1" applyFont="1" applyBorder="1" applyAlignment="1">
      <alignment horizontal="right" vertical="center"/>
    </xf>
    <xf numFmtId="178" fontId="38" fillId="0" borderId="18" xfId="2" applyNumberFormat="1" applyFont="1" applyBorder="1" applyAlignment="1">
      <alignment horizontal="right" vertical="center"/>
    </xf>
    <xf numFmtId="41" fontId="38" fillId="0" borderId="18" xfId="2" applyFont="1" applyBorder="1" applyAlignment="1">
      <alignment horizontal="center" vertical="center"/>
    </xf>
    <xf numFmtId="183" fontId="38" fillId="0" borderId="18" xfId="0" applyNumberFormat="1" applyFont="1" applyFill="1" applyBorder="1" applyAlignment="1" applyProtection="1">
      <alignment horizontal="right" vertical="center" shrinkToFit="1"/>
    </xf>
    <xf numFmtId="177" fontId="46" fillId="0" borderId="39" xfId="0" applyNumberFormat="1" applyFont="1" applyFill="1" applyBorder="1" applyAlignment="1" applyProtection="1">
      <alignment horizontal="right" vertical="center" shrinkToFit="1"/>
    </xf>
    <xf numFmtId="0" fontId="38" fillId="0" borderId="18" xfId="0" applyFont="1" applyBorder="1" applyAlignment="1">
      <alignment vertical="center" shrinkToFit="1"/>
    </xf>
    <xf numFmtId="179" fontId="38" fillId="0" borderId="18" xfId="0" applyNumberFormat="1" applyFont="1" applyBorder="1" applyAlignment="1">
      <alignment vertical="center" shrinkToFit="1"/>
    </xf>
    <xf numFmtId="38" fontId="46" fillId="0" borderId="39" xfId="0" applyNumberFormat="1" applyFont="1" applyBorder="1" applyAlignment="1">
      <alignment vertical="center" shrinkToFit="1"/>
    </xf>
    <xf numFmtId="177" fontId="38" fillId="0" borderId="36" xfId="2" applyNumberFormat="1" applyFont="1" applyBorder="1" applyAlignment="1">
      <alignment horizontal="center" vertical="center"/>
    </xf>
    <xf numFmtId="177" fontId="38" fillId="0" borderId="15" xfId="2" applyNumberFormat="1" applyFont="1" applyBorder="1" applyAlignment="1">
      <alignment horizontal="right" vertical="center"/>
    </xf>
    <xf numFmtId="177" fontId="38" fillId="0" borderId="15" xfId="2" applyNumberFormat="1" applyFont="1" applyFill="1" applyBorder="1" applyAlignment="1" applyProtection="1">
      <alignment horizontal="right" vertical="center" shrinkToFit="1"/>
    </xf>
    <xf numFmtId="178" fontId="38" fillId="0" borderId="18" xfId="0" applyNumberFormat="1" applyFont="1" applyFill="1" applyBorder="1" applyAlignment="1" applyProtection="1">
      <alignment horizontal="right" vertical="center" shrinkToFit="1"/>
    </xf>
    <xf numFmtId="179" fontId="38" fillId="0" borderId="16" xfId="0" applyNumberFormat="1" applyFont="1" applyBorder="1" applyAlignment="1">
      <alignment vertical="center"/>
    </xf>
    <xf numFmtId="2" fontId="38" fillId="0" borderId="15" xfId="2" applyNumberFormat="1" applyFont="1" applyFill="1" applyBorder="1" applyAlignment="1" applyProtection="1">
      <alignment horizontal="center" vertical="center" shrinkToFit="1"/>
    </xf>
    <xf numFmtId="41" fontId="46" fillId="0" borderId="39" xfId="0" applyNumberFormat="1" applyFont="1" applyFill="1" applyBorder="1" applyAlignment="1">
      <alignment vertical="center"/>
    </xf>
    <xf numFmtId="0" fontId="38" fillId="0" borderId="0" xfId="2" applyNumberFormat="1" applyFont="1" applyFill="1" applyBorder="1" applyAlignment="1">
      <alignment vertical="center"/>
    </xf>
    <xf numFmtId="177" fontId="39" fillId="0" borderId="35" xfId="2" applyNumberFormat="1" applyFont="1" applyFill="1" applyBorder="1" applyAlignment="1">
      <alignment horizontal="center" vertical="center"/>
    </xf>
    <xf numFmtId="41" fontId="39" fillId="0" borderId="0" xfId="2" applyFont="1" applyFill="1" applyBorder="1" applyAlignment="1">
      <alignment horizontal="center" vertical="center"/>
    </xf>
    <xf numFmtId="177" fontId="39" fillId="0" borderId="37" xfId="0" applyNumberFormat="1" applyFont="1" applyFill="1" applyBorder="1" applyAlignment="1" applyProtection="1">
      <alignment horizontal="right" vertical="center" shrinkToFit="1"/>
    </xf>
    <xf numFmtId="0" fontId="38" fillId="0" borderId="18" xfId="2" applyNumberFormat="1" applyFont="1" applyFill="1" applyBorder="1" applyAlignment="1">
      <alignment vertical="center"/>
    </xf>
    <xf numFmtId="185" fontId="38" fillId="0" borderId="18" xfId="0" applyNumberFormat="1" applyFont="1" applyFill="1" applyBorder="1" applyAlignment="1" applyProtection="1">
      <alignment vertical="center" shrinkToFit="1"/>
    </xf>
    <xf numFmtId="184" fontId="38" fillId="0" borderId="0" xfId="2" applyNumberFormat="1" applyFont="1" applyFill="1" applyBorder="1" applyAlignment="1">
      <alignment horizontal="right" vertical="center"/>
    </xf>
    <xf numFmtId="177" fontId="38" fillId="0" borderId="0" xfId="2" applyNumberFormat="1" applyFont="1" applyFill="1" applyBorder="1" applyAlignment="1">
      <alignment horizontal="left" vertical="center" shrinkToFit="1"/>
    </xf>
    <xf numFmtId="177" fontId="38" fillId="0" borderId="0" xfId="2" applyNumberFormat="1" applyFont="1" applyFill="1" applyBorder="1" applyAlignment="1">
      <alignment horizontal="left" vertical="center" wrapText="1" shrinkToFit="1"/>
    </xf>
    <xf numFmtId="178" fontId="38" fillId="0" borderId="0" xfId="2" applyNumberFormat="1" applyFont="1" applyFill="1" applyBorder="1" applyAlignment="1">
      <alignment horizontal="left" vertical="center"/>
    </xf>
    <xf numFmtId="184" fontId="38" fillId="0" borderId="0" xfId="0" applyNumberFormat="1" applyFont="1" applyFill="1" applyBorder="1" applyAlignment="1" applyProtection="1">
      <alignment horizontal="left" vertical="center" shrinkToFit="1"/>
    </xf>
    <xf numFmtId="179" fontId="38" fillId="0" borderId="0" xfId="2" applyNumberFormat="1" applyFont="1" applyFill="1" applyBorder="1" applyAlignment="1">
      <alignment horizontal="left" vertical="center"/>
    </xf>
    <xf numFmtId="180" fontId="38" fillId="0" borderId="18" xfId="0" applyNumberFormat="1" applyFont="1" applyFill="1" applyBorder="1" applyAlignment="1" applyProtection="1">
      <alignment vertical="center" shrinkToFit="1"/>
    </xf>
    <xf numFmtId="183" fontId="38" fillId="0" borderId="0" xfId="0" applyNumberFormat="1" applyFont="1" applyFill="1" applyBorder="1" applyAlignment="1" applyProtection="1">
      <alignment vertical="center" shrinkToFit="1"/>
    </xf>
    <xf numFmtId="183" fontId="38" fillId="0" borderId="18" xfId="2" applyNumberFormat="1" applyFont="1" applyFill="1" applyBorder="1" applyAlignment="1">
      <alignment vertical="center"/>
    </xf>
    <xf numFmtId="41" fontId="46" fillId="0" borderId="39" xfId="2" applyFont="1" applyFill="1" applyBorder="1" applyAlignment="1">
      <alignment vertical="center"/>
    </xf>
    <xf numFmtId="177" fontId="39" fillId="0" borderId="0" xfId="2" applyNumberFormat="1" applyFont="1" applyBorder="1" applyAlignment="1">
      <alignment horizontal="left" vertical="center" wrapText="1"/>
    </xf>
    <xf numFmtId="178" fontId="39" fillId="0" borderId="0" xfId="2" applyNumberFormat="1" applyFont="1" applyBorder="1" applyAlignment="1">
      <alignment horizontal="right" vertical="center"/>
    </xf>
    <xf numFmtId="41" fontId="39" fillId="0" borderId="0" xfId="2" applyFont="1" applyBorder="1" applyAlignment="1">
      <alignment horizontal="center" vertical="center"/>
    </xf>
    <xf numFmtId="191" fontId="39" fillId="0" borderId="0" xfId="0" applyNumberFormat="1" applyFont="1" applyBorder="1" applyAlignment="1">
      <alignment vertical="center" shrinkToFit="1"/>
    </xf>
    <xf numFmtId="194" fontId="39" fillId="0" borderId="0" xfId="0" applyNumberFormat="1" applyFont="1" applyBorder="1" applyAlignment="1">
      <alignment vertical="center" shrinkToFit="1"/>
    </xf>
    <xf numFmtId="192" fontId="38" fillId="0" borderId="35" xfId="2" applyNumberFormat="1" applyFont="1" applyFill="1" applyBorder="1" applyAlignment="1">
      <alignment horizontal="center" vertical="center"/>
    </xf>
    <xf numFmtId="41" fontId="38" fillId="0" borderId="18" xfId="2" applyFont="1" applyFill="1" applyBorder="1" applyAlignment="1">
      <alignment horizontal="left" vertical="center"/>
    </xf>
    <xf numFmtId="41" fontId="46" fillId="0" borderId="39" xfId="2" applyFont="1" applyFill="1" applyBorder="1" applyAlignment="1">
      <alignment horizontal="center" vertical="center"/>
    </xf>
    <xf numFmtId="0" fontId="38" fillId="0" borderId="34" xfId="2" applyNumberFormat="1" applyFont="1" applyFill="1" applyBorder="1" applyAlignment="1">
      <alignment horizontal="center" vertical="center"/>
    </xf>
    <xf numFmtId="180" fontId="38" fillId="0" borderId="18" xfId="2" applyNumberFormat="1" applyFont="1" applyFill="1" applyBorder="1" applyAlignment="1">
      <alignment vertical="center"/>
    </xf>
    <xf numFmtId="0" fontId="40" fillId="0" borderId="38" xfId="0" applyFont="1" applyBorder="1" applyAlignment="1">
      <alignment vertical="center"/>
    </xf>
    <xf numFmtId="0" fontId="52" fillId="0" borderId="38" xfId="0" applyFont="1" applyBorder="1" applyAlignment="1">
      <alignment vertical="center"/>
    </xf>
    <xf numFmtId="0" fontId="52" fillId="0" borderId="38" xfId="0" applyFont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177" fontId="16" fillId="0" borderId="0" xfId="2" applyNumberFormat="1" applyFont="1" applyAlignment="1">
      <alignment horizontal="right" vertical="center"/>
    </xf>
    <xf numFmtId="177" fontId="16" fillId="0" borderId="0" xfId="2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16" fillId="0" borderId="0" xfId="0" applyNumberFormat="1" applyFont="1" applyBorder="1" applyAlignment="1">
      <alignment horizontal="right" vertical="center" shrinkToFit="1"/>
    </xf>
    <xf numFmtId="177" fontId="46" fillId="14" borderId="72" xfId="2" applyNumberFormat="1" applyFont="1" applyFill="1" applyBorder="1" applyAlignment="1">
      <alignment horizontal="right" vertical="center"/>
    </xf>
    <xf numFmtId="2" fontId="46" fillId="14" borderId="38" xfId="2" applyNumberFormat="1" applyFont="1" applyFill="1" applyBorder="1" applyAlignment="1" applyProtection="1">
      <alignment horizontal="center" vertical="center" shrinkToFit="1"/>
    </xf>
    <xf numFmtId="177" fontId="46" fillId="14" borderId="23" xfId="2" applyNumberFormat="1" applyFont="1" applyFill="1" applyBorder="1" applyAlignment="1">
      <alignment horizontal="center" vertical="center"/>
    </xf>
    <xf numFmtId="177" fontId="46" fillId="14" borderId="76" xfId="2" applyNumberFormat="1" applyFont="1" applyFill="1" applyBorder="1" applyAlignment="1">
      <alignment horizontal="left" vertical="center"/>
    </xf>
    <xf numFmtId="177" fontId="46" fillId="14" borderId="76" xfId="2" applyNumberFormat="1" applyFont="1" applyFill="1" applyBorder="1" applyAlignment="1">
      <alignment horizontal="right" vertical="center"/>
    </xf>
    <xf numFmtId="177" fontId="46" fillId="14" borderId="76" xfId="2" applyNumberFormat="1" applyFont="1" applyFill="1" applyBorder="1" applyAlignment="1">
      <alignment vertical="center"/>
    </xf>
    <xf numFmtId="41" fontId="46" fillId="14" borderId="76" xfId="2" applyFont="1" applyFill="1" applyBorder="1" applyAlignment="1">
      <alignment vertical="center"/>
    </xf>
    <xf numFmtId="177" fontId="46" fillId="14" borderId="33" xfId="2" applyNumberFormat="1" applyFont="1" applyFill="1" applyBorder="1" applyAlignment="1">
      <alignment horizontal="right" vertical="center"/>
    </xf>
    <xf numFmtId="177" fontId="46" fillId="14" borderId="55" xfId="2" applyNumberFormat="1" applyFont="1" applyFill="1" applyBorder="1" applyAlignment="1">
      <alignment horizontal="right" vertical="center"/>
    </xf>
    <xf numFmtId="41" fontId="46" fillId="14" borderId="50" xfId="2" applyFont="1" applyFill="1" applyBorder="1" applyAlignment="1">
      <alignment vertical="center"/>
    </xf>
    <xf numFmtId="177" fontId="46" fillId="14" borderId="57" xfId="2" applyNumberFormat="1" applyFont="1" applyFill="1" applyBorder="1" applyAlignment="1">
      <alignment horizontal="right" vertical="center"/>
    </xf>
    <xf numFmtId="177" fontId="38" fillId="14" borderId="15" xfId="2" applyNumberFormat="1" applyFont="1" applyFill="1" applyBorder="1" applyAlignment="1">
      <alignment horizontal="right" vertical="center"/>
    </xf>
    <xf numFmtId="177" fontId="38" fillId="14" borderId="0" xfId="2" applyNumberFormat="1" applyFont="1" applyFill="1" applyBorder="1" applyAlignment="1">
      <alignment horizontal="right" vertical="center"/>
    </xf>
    <xf numFmtId="41" fontId="38" fillId="14" borderId="0" xfId="2" applyFont="1" applyFill="1" applyBorder="1" applyAlignment="1">
      <alignment vertical="center"/>
    </xf>
    <xf numFmtId="190" fontId="46" fillId="14" borderId="37" xfId="2" applyNumberFormat="1" applyFont="1" applyFill="1" applyBorder="1" applyAlignment="1">
      <alignment vertical="center"/>
    </xf>
    <xf numFmtId="177" fontId="38" fillId="0" borderId="18" xfId="2" applyNumberFormat="1" applyFont="1" applyFill="1" applyBorder="1" applyAlignment="1">
      <alignment vertical="center"/>
    </xf>
    <xf numFmtId="2" fontId="38" fillId="0" borderId="14" xfId="2" applyNumberFormat="1" applyFont="1" applyFill="1" applyBorder="1" applyAlignment="1" applyProtection="1">
      <alignment vertical="center" shrinkToFit="1"/>
    </xf>
    <xf numFmtId="0" fontId="38" fillId="0" borderId="61" xfId="2" applyNumberFormat="1" applyFont="1" applyBorder="1" applyAlignment="1">
      <alignment vertical="center"/>
    </xf>
    <xf numFmtId="0" fontId="38" fillId="0" borderId="15" xfId="2" applyNumberFormat="1" applyFont="1" applyBorder="1" applyAlignment="1">
      <alignment vertical="center"/>
    </xf>
    <xf numFmtId="0" fontId="38" fillId="0" borderId="17" xfId="2" applyNumberFormat="1" applyFont="1" applyBorder="1" applyAlignment="1">
      <alignment vertical="center" wrapText="1"/>
    </xf>
    <xf numFmtId="0" fontId="38" fillId="0" borderId="14" xfId="2" applyNumberFormat="1" applyFont="1" applyBorder="1" applyAlignment="1">
      <alignment vertical="center" wrapText="1"/>
    </xf>
    <xf numFmtId="0" fontId="38" fillId="0" borderId="1" xfId="2" applyNumberFormat="1" applyFont="1" applyBorder="1" applyAlignment="1">
      <alignment vertical="center"/>
    </xf>
    <xf numFmtId="177" fontId="38" fillId="14" borderId="1" xfId="2" applyNumberFormat="1" applyFont="1" applyFill="1" applyBorder="1" applyAlignment="1">
      <alignment horizontal="right" vertical="center"/>
    </xf>
    <xf numFmtId="2" fontId="38" fillId="14" borderId="1" xfId="2" applyNumberFormat="1" applyFont="1" applyFill="1" applyBorder="1" applyAlignment="1">
      <alignment horizontal="center" vertical="center"/>
    </xf>
    <xf numFmtId="0" fontId="38" fillId="0" borderId="21" xfId="2" applyNumberFormat="1" applyFont="1" applyBorder="1" applyAlignment="1">
      <alignment vertical="center"/>
    </xf>
    <xf numFmtId="0" fontId="38" fillId="0" borderId="35" xfId="2" applyNumberFormat="1" applyFont="1" applyFill="1" applyBorder="1" applyAlignment="1">
      <alignment horizontal="center" vertical="center"/>
    </xf>
    <xf numFmtId="177" fontId="46" fillId="14" borderId="57" xfId="2" applyNumberFormat="1" applyFont="1" applyFill="1" applyBorder="1" applyAlignment="1">
      <alignment vertical="center"/>
    </xf>
    <xf numFmtId="2" fontId="38" fillId="14" borderId="15" xfId="2" applyNumberFormat="1" applyFont="1" applyFill="1" applyBorder="1" applyAlignment="1">
      <alignment horizontal="center" vertical="center"/>
    </xf>
    <xf numFmtId="178" fontId="38" fillId="14" borderId="58" xfId="2" applyNumberFormat="1" applyFont="1" applyFill="1" applyBorder="1" applyAlignment="1">
      <alignment horizontal="right" vertical="center"/>
    </xf>
    <xf numFmtId="179" fontId="38" fillId="14" borderId="58" xfId="2" applyNumberFormat="1" applyFont="1" applyFill="1" applyBorder="1" applyAlignment="1">
      <alignment horizontal="right" vertical="center"/>
    </xf>
    <xf numFmtId="177" fontId="46" fillId="14" borderId="31" xfId="2" applyNumberFormat="1" applyFont="1" applyFill="1" applyBorder="1" applyAlignment="1">
      <alignment horizontal="right" vertical="center"/>
    </xf>
    <xf numFmtId="0" fontId="38" fillId="0" borderId="19" xfId="2" applyNumberFormat="1" applyFont="1" applyBorder="1" applyAlignment="1">
      <alignment vertical="center"/>
    </xf>
    <xf numFmtId="2" fontId="46" fillId="14" borderId="54" xfId="2" applyNumberFormat="1" applyFont="1" applyFill="1" applyBorder="1" applyAlignment="1">
      <alignment horizontal="center" vertical="center"/>
    </xf>
    <xf numFmtId="177" fontId="38" fillId="14" borderId="20" xfId="2" applyNumberFormat="1" applyFont="1" applyFill="1" applyBorder="1" applyAlignment="1">
      <alignment horizontal="right" vertical="center"/>
    </xf>
    <xf numFmtId="2" fontId="38" fillId="14" borderId="20" xfId="2" applyNumberFormat="1" applyFont="1" applyFill="1" applyBorder="1" applyAlignment="1">
      <alignment horizontal="center" vertical="center"/>
    </xf>
    <xf numFmtId="177" fontId="38" fillId="0" borderId="14" xfId="2" applyNumberFormat="1" applyFont="1" applyFill="1" applyBorder="1" applyAlignment="1">
      <alignment horizontal="right" vertical="center"/>
    </xf>
    <xf numFmtId="177" fontId="38" fillId="0" borderId="19" xfId="2" applyNumberFormat="1" applyFont="1" applyBorder="1" applyAlignment="1">
      <alignment horizontal="right" vertical="center"/>
    </xf>
    <xf numFmtId="177" fontId="38" fillId="0" borderId="19" xfId="2" applyNumberFormat="1" applyFont="1" applyFill="1" applyBorder="1" applyAlignment="1" applyProtection="1">
      <alignment horizontal="right" vertical="center" shrinkToFit="1"/>
    </xf>
    <xf numFmtId="177" fontId="38" fillId="0" borderId="20" xfId="2" applyNumberFormat="1" applyFont="1" applyBorder="1" applyAlignment="1">
      <alignment horizontal="right" vertical="center"/>
    </xf>
    <xf numFmtId="177" fontId="38" fillId="0" borderId="20" xfId="2" applyNumberFormat="1" applyFont="1" applyFill="1" applyBorder="1" applyAlignment="1" applyProtection="1">
      <alignment horizontal="right" vertical="center" shrinkToFit="1"/>
    </xf>
    <xf numFmtId="177" fontId="38" fillId="15" borderId="15" xfId="2" applyNumberFormat="1" applyFont="1" applyFill="1" applyBorder="1" applyAlignment="1" applyProtection="1">
      <alignment horizontal="right" vertical="center" shrinkToFit="1"/>
    </xf>
    <xf numFmtId="2" fontId="38" fillId="15" borderId="15" xfId="2" applyNumberFormat="1" applyFont="1" applyFill="1" applyBorder="1" applyAlignment="1" applyProtection="1">
      <alignment horizontal="center" vertical="center" shrinkToFit="1"/>
    </xf>
    <xf numFmtId="38" fontId="38" fillId="0" borderId="14" xfId="2" applyNumberFormat="1" applyFont="1" applyBorder="1" applyAlignment="1">
      <alignment horizontal="right" vertical="center"/>
    </xf>
    <xf numFmtId="38" fontId="38" fillId="0" borderId="1" xfId="2" applyNumberFormat="1" applyFont="1" applyBorder="1" applyAlignment="1">
      <alignment horizontal="right" vertical="center"/>
    </xf>
    <xf numFmtId="38" fontId="38" fillId="0" borderId="15" xfId="2" applyNumberFormat="1" applyFont="1" applyBorder="1" applyAlignment="1">
      <alignment horizontal="right" vertical="center"/>
    </xf>
    <xf numFmtId="0" fontId="38" fillId="0" borderId="36" xfId="2" applyNumberFormat="1" applyFont="1" applyFill="1" applyBorder="1" applyAlignment="1">
      <alignment vertical="center"/>
    </xf>
    <xf numFmtId="38" fontId="38" fillId="0" borderId="20" xfId="2" applyNumberFormat="1" applyFont="1" applyBorder="1" applyAlignment="1">
      <alignment horizontal="right" vertical="center"/>
    </xf>
    <xf numFmtId="2" fontId="38" fillId="0" borderId="20" xfId="2" applyNumberFormat="1" applyFont="1" applyFill="1" applyBorder="1" applyAlignment="1" applyProtection="1">
      <alignment horizontal="center" vertical="center" shrinkToFit="1"/>
    </xf>
    <xf numFmtId="38" fontId="38" fillId="0" borderId="17" xfId="0" applyNumberFormat="1" applyFont="1" applyBorder="1" applyAlignment="1">
      <alignment vertical="center"/>
    </xf>
    <xf numFmtId="38" fontId="38" fillId="0" borderId="17" xfId="2" applyNumberFormat="1" applyFont="1" applyBorder="1" applyAlignment="1">
      <alignment horizontal="right" vertical="center"/>
    </xf>
    <xf numFmtId="38" fontId="38" fillId="0" borderId="14" xfId="2" applyNumberFormat="1" applyFont="1" applyBorder="1" applyAlignment="1">
      <alignment vertical="center"/>
    </xf>
    <xf numFmtId="38" fontId="38" fillId="0" borderId="17" xfId="2" applyNumberFormat="1" applyFont="1" applyBorder="1" applyAlignment="1">
      <alignment vertical="center"/>
    </xf>
    <xf numFmtId="38" fontId="38" fillId="0" borderId="17" xfId="2" applyNumberFormat="1" applyFont="1" applyBorder="1" applyAlignment="1">
      <alignment vertical="center" wrapText="1"/>
    </xf>
    <xf numFmtId="38" fontId="38" fillId="0" borderId="14" xfId="2" applyNumberFormat="1" applyFont="1" applyBorder="1" applyAlignment="1">
      <alignment vertical="center" wrapText="1"/>
    </xf>
    <xf numFmtId="38" fontId="38" fillId="0" borderId="15" xfId="2" applyNumberFormat="1" applyFont="1" applyBorder="1" applyAlignment="1">
      <alignment vertical="center"/>
    </xf>
    <xf numFmtId="38" fontId="38" fillId="0" borderId="21" xfId="2" applyNumberFormat="1" applyFont="1" applyBorder="1" applyAlignment="1">
      <alignment vertical="center" wrapText="1"/>
    </xf>
    <xf numFmtId="38" fontId="38" fillId="0" borderId="19" xfId="2" applyNumberFormat="1" applyFont="1" applyBorder="1" applyAlignment="1">
      <alignment vertical="center" wrapText="1"/>
    </xf>
    <xf numFmtId="38" fontId="38" fillId="0" borderId="19" xfId="2" applyNumberFormat="1" applyFont="1" applyBorder="1" applyAlignment="1">
      <alignment horizontal="right" vertical="center"/>
    </xf>
    <xf numFmtId="2" fontId="38" fillId="0" borderId="19" xfId="2" applyNumberFormat="1" applyFont="1" applyFill="1" applyBorder="1" applyAlignment="1" applyProtection="1">
      <alignment horizontal="center" vertical="center" shrinkToFit="1"/>
    </xf>
    <xf numFmtId="177" fontId="46" fillId="14" borderId="55" xfId="2" applyNumberFormat="1" applyFont="1" applyFill="1" applyBorder="1" applyAlignment="1" applyProtection="1">
      <alignment horizontal="right" vertical="center" shrinkToFit="1"/>
    </xf>
    <xf numFmtId="41" fontId="46" fillId="14" borderId="56" xfId="2" applyFont="1" applyFill="1" applyBorder="1" applyAlignment="1">
      <alignment horizontal="center" vertical="center"/>
    </xf>
    <xf numFmtId="41" fontId="46" fillId="14" borderId="50" xfId="2" applyFont="1" applyFill="1" applyBorder="1" applyAlignment="1">
      <alignment horizontal="center" vertical="center"/>
    </xf>
    <xf numFmtId="183" fontId="46" fillId="14" borderId="50" xfId="0" applyNumberFormat="1" applyFont="1" applyFill="1" applyBorder="1" applyAlignment="1" applyProtection="1">
      <alignment vertical="center" shrinkToFit="1"/>
    </xf>
    <xf numFmtId="193" fontId="38" fillId="14" borderId="15" xfId="2" applyNumberFormat="1" applyFont="1" applyFill="1" applyBorder="1" applyAlignment="1">
      <alignment horizontal="center" vertical="center"/>
    </xf>
    <xf numFmtId="41" fontId="38" fillId="14" borderId="36" xfId="2" applyFont="1" applyFill="1" applyBorder="1" applyAlignment="1">
      <alignment horizontal="center" vertical="center"/>
    </xf>
    <xf numFmtId="178" fontId="38" fillId="14" borderId="16" xfId="0" applyNumberFormat="1" applyFont="1" applyFill="1" applyBorder="1" applyAlignment="1">
      <alignment horizontal="right" vertical="center"/>
    </xf>
    <xf numFmtId="41" fontId="38" fillId="14" borderId="16" xfId="2" applyFont="1" applyFill="1" applyBorder="1" applyAlignment="1">
      <alignment horizontal="center" vertical="center"/>
    </xf>
    <xf numFmtId="183" fontId="38" fillId="14" borderId="16" xfId="0" applyNumberFormat="1" applyFont="1" applyFill="1" applyBorder="1" applyAlignment="1" applyProtection="1">
      <alignment vertical="center" shrinkToFit="1"/>
    </xf>
    <xf numFmtId="41" fontId="38" fillId="14" borderId="16" xfId="2" applyFont="1" applyFill="1" applyBorder="1" applyAlignment="1">
      <alignment vertical="center"/>
    </xf>
    <xf numFmtId="177" fontId="46" fillId="14" borderId="52" xfId="2" applyNumberFormat="1" applyFont="1" applyFill="1" applyBorder="1" applyAlignment="1">
      <alignment vertical="center"/>
    </xf>
    <xf numFmtId="193" fontId="38" fillId="0" borderId="17" xfId="2" applyNumberFormat="1" applyFont="1" applyFill="1" applyBorder="1" applyAlignment="1">
      <alignment horizontal="center" vertical="center"/>
    </xf>
    <xf numFmtId="41" fontId="38" fillId="0" borderId="34" xfId="2" applyFont="1" applyFill="1" applyBorder="1" applyAlignment="1">
      <alignment horizontal="center" vertical="center"/>
    </xf>
    <xf numFmtId="184" fontId="38" fillId="0" borderId="18" xfId="0" applyNumberFormat="1" applyFont="1" applyFill="1" applyBorder="1" applyAlignment="1" applyProtection="1">
      <alignment vertical="center" shrinkToFit="1"/>
    </xf>
    <xf numFmtId="177" fontId="38" fillId="0" borderId="14" xfId="2" applyNumberFormat="1" applyFont="1" applyFill="1" applyBorder="1" applyAlignment="1">
      <alignment vertical="center"/>
    </xf>
    <xf numFmtId="177" fontId="38" fillId="0" borderId="60" xfId="2" applyNumberFormat="1" applyFont="1" applyBorder="1" applyAlignment="1">
      <alignment horizontal="right" vertical="center"/>
    </xf>
    <xf numFmtId="177" fontId="38" fillId="0" borderId="60" xfId="2" applyNumberFormat="1" applyFont="1" applyFill="1" applyBorder="1" applyAlignment="1" applyProtection="1">
      <alignment horizontal="right" vertical="center" shrinkToFit="1"/>
    </xf>
    <xf numFmtId="177" fontId="38" fillId="0" borderId="60" xfId="2" applyNumberFormat="1" applyFont="1" applyFill="1" applyBorder="1" applyAlignment="1">
      <alignment vertical="center"/>
    </xf>
    <xf numFmtId="177" fontId="38" fillId="0" borderId="48" xfId="2" applyNumberFormat="1" applyFont="1" applyFill="1" applyBorder="1" applyAlignment="1">
      <alignment horizontal="right" vertical="center"/>
    </xf>
    <xf numFmtId="177" fontId="46" fillId="14" borderId="23" xfId="2" applyNumberFormat="1" applyFont="1" applyFill="1" applyBorder="1" applyAlignment="1">
      <alignment horizontal="right" vertical="center"/>
    </xf>
    <xf numFmtId="2" fontId="38" fillId="14" borderId="0" xfId="2" applyNumberFormat="1" applyFont="1" applyFill="1" applyBorder="1" applyAlignment="1" applyProtection="1">
      <alignment horizontal="center" vertical="center" shrinkToFit="1"/>
    </xf>
    <xf numFmtId="177" fontId="46" fillId="15" borderId="31" xfId="2" applyNumberFormat="1" applyFont="1" applyFill="1" applyBorder="1" applyAlignment="1">
      <alignment horizontal="right" vertical="center"/>
    </xf>
    <xf numFmtId="0" fontId="38" fillId="0" borderId="21" xfId="0" applyFont="1" applyFill="1" applyBorder="1" applyAlignment="1">
      <alignment vertical="center" shrinkToFit="1"/>
    </xf>
    <xf numFmtId="177" fontId="38" fillId="0" borderId="17" xfId="2" applyNumberFormat="1" applyFont="1" applyFill="1" applyBorder="1" applyAlignment="1">
      <alignment horizontal="right" vertical="center"/>
    </xf>
    <xf numFmtId="177" fontId="46" fillId="0" borderId="39" xfId="2" applyNumberFormat="1" applyFont="1" applyFill="1" applyBorder="1" applyAlignment="1">
      <alignment horizontal="right" vertical="center"/>
    </xf>
    <xf numFmtId="178" fontId="46" fillId="14" borderId="50" xfId="2" applyNumberFormat="1" applyFont="1" applyFill="1" applyBorder="1" applyAlignment="1" applyProtection="1">
      <alignment horizontal="right" vertical="center" shrinkToFit="1"/>
    </xf>
    <xf numFmtId="0" fontId="46" fillId="14" borderId="50" xfId="0" applyNumberFormat="1" applyFont="1" applyFill="1" applyBorder="1" applyAlignment="1" applyProtection="1">
      <alignment horizontal="right" vertical="center" shrinkToFit="1"/>
    </xf>
    <xf numFmtId="183" fontId="46" fillId="14" borderId="50" xfId="0" applyNumberFormat="1" applyFont="1" applyFill="1" applyBorder="1" applyAlignment="1" applyProtection="1">
      <alignment horizontal="right" vertical="center" shrinkToFit="1"/>
    </xf>
    <xf numFmtId="179" fontId="46" fillId="14" borderId="50" xfId="0" applyNumberFormat="1" applyFont="1" applyFill="1" applyBorder="1" applyAlignment="1" applyProtection="1">
      <alignment horizontal="right" vertical="center" shrinkToFit="1"/>
    </xf>
    <xf numFmtId="177" fontId="46" fillId="14" borderId="57" xfId="0" applyNumberFormat="1" applyFont="1" applyFill="1" applyBorder="1" applyAlignment="1" applyProtection="1">
      <alignment horizontal="right" vertical="center" shrinkToFit="1"/>
    </xf>
    <xf numFmtId="193" fontId="38" fillId="14" borderId="6" xfId="2" applyNumberFormat="1" applyFont="1" applyFill="1" applyBorder="1" applyAlignment="1">
      <alignment horizontal="center" vertical="center"/>
    </xf>
    <xf numFmtId="177" fontId="38" fillId="14" borderId="22" xfId="2" applyNumberFormat="1" applyFont="1" applyFill="1" applyBorder="1" applyAlignment="1">
      <alignment horizontal="right" vertical="center"/>
    </xf>
    <xf numFmtId="178" fontId="38" fillId="14" borderId="58" xfId="2" applyNumberFormat="1" applyFont="1" applyFill="1" applyBorder="1" applyAlignment="1">
      <alignment horizontal="left" vertical="center"/>
    </xf>
    <xf numFmtId="183" fontId="38" fillId="14" borderId="58" xfId="2" applyNumberFormat="1" applyFont="1" applyFill="1" applyBorder="1" applyAlignment="1">
      <alignment horizontal="left" vertical="center"/>
    </xf>
    <xf numFmtId="179" fontId="38" fillId="14" borderId="58" xfId="2" applyNumberFormat="1" applyFont="1" applyFill="1" applyBorder="1" applyAlignment="1">
      <alignment horizontal="left" vertical="center"/>
    </xf>
    <xf numFmtId="0" fontId="38" fillId="0" borderId="70" xfId="0" applyFont="1" applyBorder="1" applyAlignment="1">
      <alignment vertical="center" shrinkToFit="1"/>
    </xf>
    <xf numFmtId="0" fontId="38" fillId="0" borderId="67" xfId="0" applyFont="1" applyBorder="1" applyAlignment="1">
      <alignment vertical="center" shrinkToFit="1"/>
    </xf>
    <xf numFmtId="177" fontId="38" fillId="14" borderId="22" xfId="2" applyNumberFormat="1" applyFont="1" applyFill="1" applyBorder="1" applyAlignment="1">
      <alignment horizontal="left" vertical="center"/>
    </xf>
    <xf numFmtId="177" fontId="38" fillId="0" borderId="0" xfId="2" applyNumberFormat="1" applyFont="1" applyFill="1" applyBorder="1" applyAlignment="1">
      <alignment horizontal="left" vertical="center" shrinkToFit="1"/>
    </xf>
    <xf numFmtId="0" fontId="38" fillId="0" borderId="38" xfId="2" applyNumberFormat="1" applyFont="1" applyFill="1" applyBorder="1" applyAlignment="1">
      <alignment horizontal="left" vertical="center"/>
    </xf>
    <xf numFmtId="177" fontId="38" fillId="0" borderId="16" xfId="2" applyNumberFormat="1" applyFont="1" applyFill="1" applyBorder="1" applyAlignment="1">
      <alignment horizontal="left" vertical="center"/>
    </xf>
    <xf numFmtId="177" fontId="53" fillId="0" borderId="35" xfId="2" applyNumberFormat="1" applyFont="1" applyFill="1" applyBorder="1" applyAlignment="1">
      <alignment horizontal="center" vertical="center"/>
    </xf>
    <xf numFmtId="177" fontId="53" fillId="0" borderId="0" xfId="2" applyNumberFormat="1" applyFont="1" applyFill="1" applyBorder="1" applyAlignment="1">
      <alignment horizontal="left" vertical="center" shrinkToFit="1"/>
    </xf>
    <xf numFmtId="178" fontId="53" fillId="0" borderId="0" xfId="2" applyNumberFormat="1" applyFont="1" applyFill="1" applyBorder="1" applyAlignment="1">
      <alignment vertical="center"/>
    </xf>
    <xf numFmtId="177" fontId="53" fillId="0" borderId="37" xfId="0" applyNumberFormat="1" applyFont="1" applyFill="1" applyBorder="1" applyAlignment="1" applyProtection="1">
      <alignment horizontal="right" vertical="center" shrinkToFit="1"/>
    </xf>
    <xf numFmtId="41" fontId="53" fillId="0" borderId="0" xfId="2" applyFont="1" applyFill="1" applyBorder="1" applyAlignment="1">
      <alignment horizontal="center" vertical="center"/>
    </xf>
    <xf numFmtId="185" fontId="53" fillId="0" borderId="0" xfId="0" applyNumberFormat="1" applyFont="1" applyFill="1" applyBorder="1" applyAlignment="1" applyProtection="1">
      <alignment vertical="center" shrinkToFit="1"/>
    </xf>
    <xf numFmtId="177" fontId="53" fillId="0" borderId="0" xfId="2" applyNumberFormat="1" applyFont="1" applyFill="1" applyBorder="1" applyAlignment="1">
      <alignment horizontal="right" vertical="center"/>
    </xf>
    <xf numFmtId="179" fontId="53" fillId="0" borderId="0" xfId="2" applyNumberFormat="1" applyFont="1" applyFill="1" applyBorder="1" applyAlignment="1">
      <alignment horizontal="right" vertical="center"/>
    </xf>
    <xf numFmtId="192" fontId="53" fillId="0" borderId="40" xfId="2" applyNumberFormat="1" applyFont="1" applyFill="1" applyBorder="1" applyAlignment="1">
      <alignment horizontal="center" vertical="center"/>
    </xf>
    <xf numFmtId="177" fontId="53" fillId="0" borderId="48" xfId="2" applyNumberFormat="1" applyFont="1" applyFill="1" applyBorder="1" applyAlignment="1">
      <alignment horizontal="right" vertical="center"/>
    </xf>
    <xf numFmtId="177" fontId="39" fillId="0" borderId="34" xfId="2" applyNumberFormat="1" applyFont="1" applyFill="1" applyBorder="1" applyAlignment="1">
      <alignment horizontal="center" vertical="center"/>
    </xf>
    <xf numFmtId="177" fontId="39" fillId="0" borderId="18" xfId="2" applyNumberFormat="1" applyFont="1" applyFill="1" applyBorder="1" applyAlignment="1">
      <alignment horizontal="left" vertical="center" wrapText="1" shrinkToFit="1"/>
    </xf>
    <xf numFmtId="178" fontId="39" fillId="0" borderId="18" xfId="2" applyNumberFormat="1" applyFont="1" applyFill="1" applyBorder="1" applyAlignment="1">
      <alignment horizontal="right" vertical="center"/>
    </xf>
    <xf numFmtId="41" fontId="39" fillId="0" borderId="18" xfId="2" applyFont="1" applyFill="1" applyBorder="1" applyAlignment="1">
      <alignment horizontal="center" vertical="center"/>
    </xf>
    <xf numFmtId="180" fontId="39" fillId="0" borderId="18" xfId="0" applyNumberFormat="1" applyFont="1" applyFill="1" applyBorder="1" applyAlignment="1" applyProtection="1">
      <alignment vertical="center" shrinkToFit="1"/>
    </xf>
    <xf numFmtId="177" fontId="39" fillId="0" borderId="18" xfId="2" applyNumberFormat="1" applyFont="1" applyFill="1" applyBorder="1" applyAlignment="1">
      <alignment horizontal="right" vertical="center"/>
    </xf>
    <xf numFmtId="179" fontId="39" fillId="0" borderId="18" xfId="2" applyNumberFormat="1" applyFont="1" applyFill="1" applyBorder="1" applyAlignment="1">
      <alignment horizontal="right" vertical="center"/>
    </xf>
    <xf numFmtId="177" fontId="39" fillId="0" borderId="39" xfId="2" applyNumberFormat="1" applyFont="1" applyFill="1" applyBorder="1" applyAlignment="1">
      <alignment horizontal="right" vertical="center"/>
    </xf>
    <xf numFmtId="177" fontId="53" fillId="0" borderId="36" xfId="2" applyNumberFormat="1" applyFont="1" applyFill="1" applyBorder="1" applyAlignment="1">
      <alignment horizontal="center" vertical="center"/>
    </xf>
    <xf numFmtId="177" fontId="53" fillId="0" borderId="16" xfId="2" applyNumberFormat="1" applyFont="1" applyFill="1" applyBorder="1" applyAlignment="1">
      <alignment horizontal="left" vertical="center" shrinkToFit="1"/>
    </xf>
    <xf numFmtId="178" fontId="53" fillId="0" borderId="16" xfId="2" applyNumberFormat="1" applyFont="1" applyFill="1" applyBorder="1" applyAlignment="1">
      <alignment horizontal="right" vertical="center"/>
    </xf>
    <xf numFmtId="41" fontId="53" fillId="0" borderId="16" xfId="2" applyFont="1" applyFill="1" applyBorder="1" applyAlignment="1">
      <alignment horizontal="center" vertical="center"/>
    </xf>
    <xf numFmtId="180" fontId="53" fillId="0" borderId="16" xfId="0" applyNumberFormat="1" applyFont="1" applyFill="1" applyBorder="1" applyAlignment="1" applyProtection="1">
      <alignment vertical="center" shrinkToFit="1"/>
    </xf>
    <xf numFmtId="179" fontId="53" fillId="0" borderId="16" xfId="2" applyNumberFormat="1" applyFont="1" applyFill="1" applyBorder="1" applyAlignment="1">
      <alignment horizontal="right" vertical="center"/>
    </xf>
    <xf numFmtId="177" fontId="53" fillId="0" borderId="52" xfId="2" applyNumberFormat="1" applyFont="1" applyFill="1" applyBorder="1" applyAlignment="1">
      <alignment horizontal="right" vertical="center"/>
    </xf>
    <xf numFmtId="177" fontId="54" fillId="0" borderId="35" xfId="2" applyNumberFormat="1" applyFont="1" applyFill="1" applyBorder="1" applyAlignment="1">
      <alignment horizontal="center" vertical="center"/>
    </xf>
    <xf numFmtId="177" fontId="54" fillId="0" borderId="0" xfId="2" applyNumberFormat="1" applyFont="1" applyFill="1" applyBorder="1" applyAlignment="1">
      <alignment horizontal="left" vertical="center" shrinkToFit="1"/>
    </xf>
    <xf numFmtId="178" fontId="54" fillId="0" borderId="0" xfId="2" applyNumberFormat="1" applyFont="1" applyFill="1" applyBorder="1" applyAlignment="1">
      <alignment horizontal="right" vertical="center"/>
    </xf>
    <xf numFmtId="41" fontId="54" fillId="0" borderId="0" xfId="2" applyFont="1" applyFill="1" applyBorder="1" applyAlignment="1">
      <alignment horizontal="center" vertical="center"/>
    </xf>
    <xf numFmtId="179" fontId="54" fillId="0" borderId="0" xfId="0" applyNumberFormat="1" applyFont="1" applyFill="1" applyBorder="1" applyAlignment="1" applyProtection="1">
      <alignment horizontal="right" vertical="center" shrinkToFit="1"/>
    </xf>
    <xf numFmtId="177" fontId="54" fillId="0" borderId="0" xfId="2" applyNumberFormat="1" applyFont="1" applyFill="1" applyBorder="1" applyAlignment="1">
      <alignment horizontal="right" vertical="center"/>
    </xf>
    <xf numFmtId="179" fontId="54" fillId="0" borderId="0" xfId="2" applyNumberFormat="1" applyFont="1" applyFill="1" applyBorder="1" applyAlignment="1">
      <alignment horizontal="right" vertical="center"/>
    </xf>
    <xf numFmtId="177" fontId="54" fillId="0" borderId="37" xfId="2" applyNumberFormat="1" applyFont="1" applyFill="1" applyBorder="1" applyAlignment="1">
      <alignment horizontal="right" vertical="center"/>
    </xf>
    <xf numFmtId="180" fontId="54" fillId="0" borderId="0" xfId="0" applyNumberFormat="1" applyFont="1" applyFill="1" applyBorder="1" applyAlignment="1" applyProtection="1">
      <alignment vertical="center" shrinkToFit="1"/>
    </xf>
    <xf numFmtId="177" fontId="53" fillId="0" borderId="52" xfId="2" applyNumberFormat="1" applyFont="1" applyFill="1" applyBorder="1" applyAlignment="1">
      <alignment vertical="center" wrapText="1" shrinkToFit="1"/>
    </xf>
    <xf numFmtId="179" fontId="53" fillId="0" borderId="16" xfId="0" applyNumberFormat="1" applyFont="1" applyFill="1" applyBorder="1" applyAlignment="1" applyProtection="1">
      <alignment vertical="center" shrinkToFit="1"/>
    </xf>
    <xf numFmtId="177" fontId="53" fillId="0" borderId="16" xfId="2" applyNumberFormat="1" applyFont="1" applyFill="1" applyBorder="1" applyAlignment="1">
      <alignment horizontal="right" vertical="center"/>
    </xf>
    <xf numFmtId="177" fontId="55" fillId="0" borderId="52" xfId="0" applyNumberFormat="1" applyFont="1" applyFill="1" applyBorder="1" applyAlignment="1" applyProtection="1">
      <alignment horizontal="right" vertical="center" shrinkToFit="1"/>
    </xf>
    <xf numFmtId="0" fontId="53" fillId="0" borderId="0" xfId="2" applyNumberFormat="1" applyFont="1" applyFill="1" applyBorder="1" applyAlignment="1">
      <alignment vertical="center"/>
    </xf>
    <xf numFmtId="178" fontId="53" fillId="0" borderId="0" xfId="2" applyNumberFormat="1" applyFont="1" applyFill="1" applyBorder="1" applyAlignment="1">
      <alignment horizontal="right" vertical="center"/>
    </xf>
    <xf numFmtId="180" fontId="53" fillId="0" borderId="0" xfId="0" applyNumberFormat="1" applyFont="1" applyFill="1" applyBorder="1" applyAlignment="1" applyProtection="1">
      <alignment vertical="center" shrinkToFit="1"/>
    </xf>
    <xf numFmtId="0" fontId="53" fillId="0" borderId="0" xfId="0" applyNumberFormat="1" applyFont="1" applyFill="1" applyBorder="1" applyAlignment="1" applyProtection="1">
      <alignment horizontal="right" vertical="center" shrinkToFit="1"/>
    </xf>
    <xf numFmtId="179" fontId="53" fillId="0" borderId="0" xfId="0" applyNumberFormat="1" applyFont="1" applyFill="1" applyBorder="1" applyAlignment="1" applyProtection="1">
      <alignment horizontal="right" vertical="center" shrinkToFit="1"/>
    </xf>
    <xf numFmtId="177" fontId="53" fillId="0" borderId="48" xfId="0" applyNumberFormat="1" applyFont="1" applyFill="1" applyBorder="1" applyAlignment="1" applyProtection="1">
      <alignment horizontal="right" vertical="center" shrinkToFit="1"/>
    </xf>
    <xf numFmtId="0" fontId="53" fillId="0" borderId="16" xfId="2" applyNumberFormat="1" applyFont="1" applyFill="1" applyBorder="1" applyAlignment="1">
      <alignment vertical="center"/>
    </xf>
    <xf numFmtId="185" fontId="53" fillId="0" borderId="16" xfId="0" applyNumberFormat="1" applyFont="1" applyFill="1" applyBorder="1" applyAlignment="1" applyProtection="1">
      <alignment vertical="center" shrinkToFit="1"/>
    </xf>
    <xf numFmtId="0" fontId="53" fillId="0" borderId="16" xfId="0" applyNumberFormat="1" applyFont="1" applyFill="1" applyBorder="1" applyAlignment="1" applyProtection="1">
      <alignment horizontal="right" vertical="center" shrinkToFit="1"/>
    </xf>
    <xf numFmtId="179" fontId="53" fillId="0" borderId="16" xfId="0" applyNumberFormat="1" applyFont="1" applyFill="1" applyBorder="1" applyAlignment="1" applyProtection="1">
      <alignment horizontal="right" vertical="center" shrinkToFit="1"/>
    </xf>
    <xf numFmtId="177" fontId="53" fillId="0" borderId="52" xfId="0" applyNumberFormat="1" applyFont="1" applyFill="1" applyBorder="1" applyAlignment="1" applyProtection="1">
      <alignment horizontal="right" vertical="center" shrinkToFit="1"/>
    </xf>
    <xf numFmtId="41" fontId="38" fillId="0" borderId="39" xfId="2" applyFont="1" applyFill="1" applyBorder="1" applyAlignment="1">
      <alignment vertical="center"/>
    </xf>
    <xf numFmtId="177" fontId="53" fillId="0" borderId="0" xfId="2" applyNumberFormat="1" applyFont="1" applyFill="1" applyBorder="1" applyAlignment="1">
      <alignment horizontal="left" vertical="center"/>
    </xf>
    <xf numFmtId="0" fontId="53" fillId="0" borderId="16" xfId="0" applyFont="1" applyBorder="1" applyAlignment="1">
      <alignment horizontal="center" vertical="center"/>
    </xf>
    <xf numFmtId="0" fontId="53" fillId="0" borderId="16" xfId="0" applyFont="1" applyBorder="1" applyAlignment="1">
      <alignment horizontal="left" vertical="center"/>
    </xf>
    <xf numFmtId="41" fontId="38" fillId="0" borderId="39" xfId="2" applyFont="1" applyFill="1" applyBorder="1" applyAlignment="1">
      <alignment horizontal="center" vertical="center"/>
    </xf>
    <xf numFmtId="0" fontId="38" fillId="0" borderId="18" xfId="0" applyNumberFormat="1" applyFont="1" applyFill="1" applyBorder="1" applyAlignment="1" applyProtection="1">
      <alignment horizontal="left" vertical="center"/>
    </xf>
    <xf numFmtId="178" fontId="38" fillId="0" borderId="18" xfId="2" applyNumberFormat="1" applyFont="1" applyFill="1" applyBorder="1" applyAlignment="1" applyProtection="1">
      <alignment horizontal="right" vertical="center" shrinkToFit="1"/>
    </xf>
    <xf numFmtId="186" fontId="38" fillId="0" borderId="18" xfId="0" applyNumberFormat="1" applyFont="1" applyFill="1" applyBorder="1" applyAlignment="1" applyProtection="1">
      <alignment horizontal="right" vertical="center" shrinkToFit="1"/>
    </xf>
    <xf numFmtId="41" fontId="38" fillId="0" borderId="13" xfId="2" applyFont="1" applyFill="1" applyBorder="1" applyAlignment="1">
      <alignment horizontal="left" vertical="center"/>
    </xf>
    <xf numFmtId="41" fontId="38" fillId="0" borderId="32" xfId="2" applyFont="1" applyFill="1" applyBorder="1" applyAlignment="1">
      <alignment horizontal="center" vertical="center"/>
    </xf>
    <xf numFmtId="177" fontId="38" fillId="0" borderId="18" xfId="2" applyNumberFormat="1" applyFont="1" applyFill="1" applyBorder="1" applyAlignment="1">
      <alignment horizontal="left" vertical="center" wrapText="1"/>
    </xf>
    <xf numFmtId="177" fontId="53" fillId="0" borderId="34" xfId="2" applyNumberFormat="1" applyFont="1" applyFill="1" applyBorder="1" applyAlignment="1">
      <alignment horizontal="center" vertical="center"/>
    </xf>
    <xf numFmtId="177" fontId="53" fillId="0" borderId="18" xfId="2" applyNumberFormat="1" applyFont="1" applyFill="1" applyBorder="1" applyAlignment="1">
      <alignment horizontal="left" vertical="center"/>
    </xf>
    <xf numFmtId="177" fontId="53" fillId="0" borderId="39" xfId="0" applyNumberFormat="1" applyFont="1" applyFill="1" applyBorder="1" applyAlignment="1" applyProtection="1">
      <alignment horizontal="right" vertical="center" shrinkToFit="1"/>
    </xf>
    <xf numFmtId="177" fontId="38" fillId="0" borderId="18" xfId="2" applyNumberFormat="1" applyFont="1" applyBorder="1" applyAlignment="1">
      <alignment horizontal="left" vertical="center" wrapText="1"/>
    </xf>
    <xf numFmtId="184" fontId="38" fillId="0" borderId="18" xfId="0" applyNumberFormat="1" applyFont="1" applyBorder="1" applyAlignment="1">
      <alignment vertical="center" shrinkToFit="1"/>
    </xf>
    <xf numFmtId="194" fontId="38" fillId="0" borderId="18" xfId="0" applyNumberFormat="1" applyFont="1" applyBorder="1" applyAlignment="1">
      <alignment vertical="center" shrinkToFit="1"/>
    </xf>
    <xf numFmtId="177" fontId="53" fillId="0" borderId="18" xfId="2" applyNumberFormat="1" applyFont="1" applyFill="1" applyBorder="1" applyAlignment="1">
      <alignment horizontal="left" vertical="center" shrinkToFit="1"/>
    </xf>
    <xf numFmtId="178" fontId="53" fillId="0" borderId="18" xfId="2" applyNumberFormat="1" applyFont="1" applyFill="1" applyBorder="1" applyAlignment="1">
      <alignment vertical="center"/>
    </xf>
    <xf numFmtId="2" fontId="38" fillId="0" borderId="60" xfId="2" applyNumberFormat="1" applyFont="1" applyFill="1" applyBorder="1" applyAlignment="1" applyProtection="1">
      <alignment vertical="center" shrinkToFit="1"/>
    </xf>
    <xf numFmtId="177" fontId="38" fillId="0" borderId="40" xfId="2" applyNumberFormat="1" applyFont="1" applyBorder="1" applyAlignment="1">
      <alignment horizontal="center" vertical="center"/>
    </xf>
    <xf numFmtId="0" fontId="38" fillId="0" borderId="38" xfId="0" applyNumberFormat="1" applyFont="1" applyFill="1" applyBorder="1" applyAlignment="1" applyProtection="1">
      <alignment horizontal="left" vertical="center"/>
    </xf>
    <xf numFmtId="178" fontId="38" fillId="0" borderId="38" xfId="2" applyNumberFormat="1" applyFont="1" applyBorder="1" applyAlignment="1">
      <alignment horizontal="right" vertical="center"/>
    </xf>
    <xf numFmtId="41" fontId="38" fillId="0" borderId="38" xfId="2" applyFont="1" applyBorder="1" applyAlignment="1">
      <alignment horizontal="center" vertical="center"/>
    </xf>
    <xf numFmtId="41" fontId="38" fillId="0" borderId="48" xfId="2" applyFont="1" applyBorder="1" applyAlignment="1">
      <alignment vertical="center"/>
    </xf>
    <xf numFmtId="178" fontId="38" fillId="0" borderId="38" xfId="2" applyNumberFormat="1" applyFont="1" applyFill="1" applyBorder="1" applyAlignment="1">
      <alignment horizontal="right" vertical="center"/>
    </xf>
    <xf numFmtId="41" fontId="38" fillId="0" borderId="38" xfId="2" applyFont="1" applyFill="1" applyBorder="1" applyAlignment="1">
      <alignment horizontal="center" vertical="center"/>
    </xf>
    <xf numFmtId="2" fontId="38" fillId="0" borderId="11" xfId="2" applyNumberFormat="1" applyFont="1" applyFill="1" applyBorder="1" applyAlignment="1" applyProtection="1">
      <alignment horizontal="center" vertical="center" shrinkToFit="1"/>
    </xf>
    <xf numFmtId="177" fontId="38" fillId="0" borderId="23" xfId="2" applyNumberFormat="1" applyFont="1" applyFill="1" applyBorder="1" applyAlignment="1">
      <alignment horizontal="center" vertical="center"/>
    </xf>
    <xf numFmtId="177" fontId="38" fillId="0" borderId="76" xfId="2" applyNumberFormat="1" applyFont="1" applyFill="1" applyBorder="1" applyAlignment="1">
      <alignment horizontal="left" vertical="center"/>
    </xf>
    <xf numFmtId="178" fontId="38" fillId="0" borderId="76" xfId="2" applyNumberFormat="1" applyFont="1" applyFill="1" applyBorder="1" applyAlignment="1">
      <alignment horizontal="right" vertical="center"/>
    </xf>
    <xf numFmtId="177" fontId="38" fillId="0" borderId="76" xfId="2" applyNumberFormat="1" applyFont="1" applyFill="1" applyBorder="1" applyAlignment="1">
      <alignment horizontal="right" vertical="center"/>
    </xf>
    <xf numFmtId="179" fontId="38" fillId="0" borderId="76" xfId="2" applyNumberFormat="1" applyFont="1" applyFill="1" applyBorder="1" applyAlignment="1">
      <alignment horizontal="right" vertical="center"/>
    </xf>
    <xf numFmtId="38" fontId="38" fillId="0" borderId="60" xfId="2" applyNumberFormat="1" applyFont="1" applyBorder="1" applyAlignment="1">
      <alignment horizontal="right" vertical="center"/>
    </xf>
    <xf numFmtId="38" fontId="38" fillId="0" borderId="60" xfId="2" applyNumberFormat="1" applyFont="1" applyBorder="1" applyAlignment="1">
      <alignment vertical="center" wrapText="1"/>
    </xf>
    <xf numFmtId="38" fontId="38" fillId="0" borderId="75" xfId="2" applyNumberFormat="1" applyFont="1" applyBorder="1" applyAlignment="1">
      <alignment horizontal="right" vertical="center"/>
    </xf>
    <xf numFmtId="177" fontId="38" fillId="0" borderId="75" xfId="2" applyNumberFormat="1" applyFont="1" applyFill="1" applyBorder="1" applyAlignment="1" applyProtection="1">
      <alignment horizontal="right" vertical="center" shrinkToFit="1"/>
    </xf>
    <xf numFmtId="2" fontId="38" fillId="0" borderId="75" xfId="2" applyNumberFormat="1" applyFont="1" applyFill="1" applyBorder="1" applyAlignment="1" applyProtection="1">
      <alignment horizontal="center" vertical="center" shrinkToFit="1"/>
    </xf>
    <xf numFmtId="177" fontId="38" fillId="0" borderId="38" xfId="2" applyNumberFormat="1" applyFont="1" applyFill="1" applyBorder="1" applyAlignment="1">
      <alignment horizontal="left" vertical="center" wrapText="1" shrinkToFit="1"/>
    </xf>
    <xf numFmtId="185" fontId="38" fillId="0" borderId="38" xfId="0" applyNumberFormat="1" applyFont="1" applyFill="1" applyBorder="1" applyAlignment="1" applyProtection="1">
      <alignment vertical="center" shrinkToFit="1"/>
    </xf>
    <xf numFmtId="41" fontId="38" fillId="0" borderId="76" xfId="2" applyFont="1" applyFill="1" applyBorder="1" applyAlignment="1">
      <alignment horizontal="center" vertical="center"/>
    </xf>
    <xf numFmtId="177" fontId="46" fillId="14" borderId="52" xfId="2" applyNumberFormat="1" applyFont="1" applyFill="1" applyBorder="1" applyAlignment="1">
      <alignment horizontal="right" vertical="center"/>
    </xf>
    <xf numFmtId="180" fontId="38" fillId="0" borderId="38" xfId="2" applyNumberFormat="1" applyFont="1" applyFill="1" applyBorder="1" applyAlignment="1">
      <alignment vertical="center"/>
    </xf>
    <xf numFmtId="41" fontId="38" fillId="0" borderId="48" xfId="2" applyFont="1" applyFill="1" applyBorder="1" applyAlignment="1">
      <alignment horizontal="center" vertical="center"/>
    </xf>
    <xf numFmtId="180" fontId="38" fillId="0" borderId="76" xfId="0" applyNumberFormat="1" applyFont="1" applyFill="1" applyBorder="1" applyAlignment="1" applyProtection="1">
      <alignment vertical="center" shrinkToFit="1"/>
    </xf>
    <xf numFmtId="179" fontId="38" fillId="0" borderId="38" xfId="2" applyNumberFormat="1" applyFont="1" applyFill="1" applyBorder="1" applyAlignment="1">
      <alignment horizontal="center" vertical="center"/>
    </xf>
    <xf numFmtId="38" fontId="38" fillId="0" borderId="60" xfId="0" applyNumberFormat="1" applyFont="1" applyBorder="1" applyAlignment="1">
      <alignment vertical="center"/>
    </xf>
    <xf numFmtId="179" fontId="38" fillId="0" borderId="76" xfId="0" applyNumberFormat="1" applyFont="1" applyFill="1" applyBorder="1" applyAlignment="1" applyProtection="1">
      <alignment vertical="center" shrinkToFit="1"/>
    </xf>
    <xf numFmtId="38" fontId="38" fillId="0" borderId="60" xfId="2" applyNumberFormat="1" applyFont="1" applyBorder="1" applyAlignment="1">
      <alignment vertical="center"/>
    </xf>
    <xf numFmtId="177" fontId="38" fillId="0" borderId="0" xfId="2" applyNumberFormat="1" applyFont="1" applyFill="1" applyBorder="1" applyAlignment="1">
      <alignment horizontal="left" vertical="center" wrapText="1"/>
    </xf>
    <xf numFmtId="179" fontId="38" fillId="0" borderId="0" xfId="2" applyNumberFormat="1" applyFont="1" applyFill="1" applyBorder="1" applyAlignment="1">
      <alignment horizontal="center" vertical="center"/>
    </xf>
    <xf numFmtId="177" fontId="53" fillId="0" borderId="40" xfId="2" applyNumberFormat="1" applyFont="1" applyBorder="1" applyAlignment="1">
      <alignment horizontal="right" vertical="center"/>
    </xf>
    <xf numFmtId="38" fontId="55" fillId="0" borderId="48" xfId="0" applyNumberFormat="1" applyFont="1" applyBorder="1" applyAlignment="1">
      <alignment vertical="center" shrinkToFit="1"/>
    </xf>
    <xf numFmtId="177" fontId="53" fillId="0" borderId="38" xfId="2" applyNumberFormat="1" applyFont="1" applyBorder="1" applyAlignment="1">
      <alignment horizontal="left" vertical="center"/>
    </xf>
    <xf numFmtId="177" fontId="53" fillId="0" borderId="23" xfId="2" applyNumberFormat="1" applyFont="1" applyBorder="1" applyAlignment="1">
      <alignment horizontal="right" vertical="center"/>
    </xf>
    <xf numFmtId="177" fontId="53" fillId="0" borderId="76" xfId="2" applyNumberFormat="1" applyFont="1" applyBorder="1" applyAlignment="1">
      <alignment horizontal="left" vertical="center"/>
    </xf>
    <xf numFmtId="177" fontId="53" fillId="0" borderId="33" xfId="0" applyNumberFormat="1" applyFont="1" applyFill="1" applyBorder="1" applyAlignment="1" applyProtection="1">
      <alignment horizontal="right" vertical="center" shrinkToFit="1"/>
    </xf>
    <xf numFmtId="177" fontId="53" fillId="0" borderId="35" xfId="2" applyNumberFormat="1" applyFont="1" applyBorder="1" applyAlignment="1">
      <alignment horizontal="center" vertical="center"/>
    </xf>
    <xf numFmtId="177" fontId="53" fillId="0" borderId="0" xfId="2" applyNumberFormat="1" applyFont="1" applyBorder="1" applyAlignment="1">
      <alignment horizontal="left" vertical="center"/>
    </xf>
    <xf numFmtId="178" fontId="53" fillId="0" borderId="0" xfId="2" applyNumberFormat="1" applyFont="1" applyBorder="1" applyAlignment="1">
      <alignment horizontal="right" vertical="center"/>
    </xf>
    <xf numFmtId="41" fontId="53" fillId="0" borderId="0" xfId="2" applyFont="1" applyBorder="1" applyAlignment="1">
      <alignment horizontal="center" vertical="center"/>
    </xf>
    <xf numFmtId="183" fontId="53" fillId="0" borderId="0" xfId="0" applyNumberFormat="1" applyFont="1" applyFill="1" applyBorder="1" applyAlignment="1" applyProtection="1">
      <alignment horizontal="right" vertical="center" shrinkToFit="1"/>
    </xf>
    <xf numFmtId="177" fontId="53" fillId="0" borderId="0" xfId="2" applyNumberFormat="1" applyFont="1" applyFill="1" applyBorder="1" applyAlignment="1">
      <alignment vertical="center" wrapText="1" shrinkToFit="1"/>
    </xf>
    <xf numFmtId="177" fontId="55" fillId="0" borderId="39" xfId="0" applyNumberFormat="1" applyFont="1" applyFill="1" applyBorder="1" applyAlignment="1" applyProtection="1">
      <alignment horizontal="right" vertical="center" shrinkToFit="1"/>
    </xf>
    <xf numFmtId="178" fontId="38" fillId="0" borderId="38" xfId="2" applyNumberFormat="1" applyFont="1" applyFill="1" applyBorder="1" applyAlignment="1" applyProtection="1">
      <alignment horizontal="right" vertical="center" shrinkToFit="1"/>
    </xf>
    <xf numFmtId="179" fontId="38" fillId="0" borderId="38" xfId="0" applyNumberFormat="1" applyFont="1" applyFill="1" applyBorder="1" applyAlignment="1" applyProtection="1">
      <alignment horizontal="right" vertical="center" shrinkToFit="1"/>
    </xf>
    <xf numFmtId="186" fontId="38" fillId="0" borderId="38" xfId="0" applyNumberFormat="1" applyFont="1" applyFill="1" applyBorder="1" applyAlignment="1" applyProtection="1">
      <alignment horizontal="right" vertical="center" shrinkToFit="1"/>
    </xf>
    <xf numFmtId="179" fontId="38" fillId="0" borderId="38" xfId="2" applyNumberFormat="1" applyFont="1" applyFill="1" applyBorder="1" applyAlignment="1">
      <alignment vertical="center"/>
    </xf>
    <xf numFmtId="180" fontId="38" fillId="0" borderId="38" xfId="2" applyNumberFormat="1" applyFont="1" applyFill="1" applyBorder="1" applyAlignment="1">
      <alignment horizontal="right" vertical="center"/>
    </xf>
    <xf numFmtId="177" fontId="38" fillId="0" borderId="38" xfId="2" applyNumberFormat="1" applyFont="1" applyFill="1" applyBorder="1" applyAlignment="1">
      <alignment horizontal="left" vertical="center" shrinkToFit="1"/>
    </xf>
    <xf numFmtId="180" fontId="38" fillId="0" borderId="38" xfId="0" applyNumberFormat="1" applyFont="1" applyFill="1" applyBorder="1" applyAlignment="1" applyProtection="1">
      <alignment vertical="center" shrinkToFit="1"/>
    </xf>
    <xf numFmtId="0" fontId="38" fillId="0" borderId="80" xfId="2" applyNumberFormat="1" applyFont="1" applyFill="1" applyBorder="1" applyAlignment="1">
      <alignment vertical="center"/>
    </xf>
    <xf numFmtId="0" fontId="38" fillId="0" borderId="81" xfId="0" applyFont="1" applyBorder="1" applyAlignment="1">
      <alignment vertical="center" shrinkToFit="1"/>
    </xf>
    <xf numFmtId="177" fontId="38" fillId="0" borderId="82" xfId="2" applyNumberFormat="1" applyFont="1" applyBorder="1" applyAlignment="1">
      <alignment horizontal="right" vertical="center"/>
    </xf>
    <xf numFmtId="177" fontId="53" fillId="0" borderId="40" xfId="2" applyNumberFormat="1" applyFont="1" applyBorder="1" applyAlignment="1">
      <alignment horizontal="center" vertical="center"/>
    </xf>
    <xf numFmtId="178" fontId="53" fillId="0" borderId="38" xfId="2" applyNumberFormat="1" applyFont="1" applyBorder="1" applyAlignment="1">
      <alignment horizontal="right" vertical="center"/>
    </xf>
    <xf numFmtId="41" fontId="53" fillId="0" borderId="38" xfId="2" applyFont="1" applyBorder="1" applyAlignment="1">
      <alignment horizontal="center" vertical="center"/>
    </xf>
    <xf numFmtId="183" fontId="53" fillId="0" borderId="38" xfId="0" applyNumberFormat="1" applyFont="1" applyFill="1" applyBorder="1" applyAlignment="1" applyProtection="1">
      <alignment horizontal="right" vertical="center" shrinkToFit="1"/>
    </xf>
    <xf numFmtId="0" fontId="53" fillId="0" borderId="38" xfId="0" applyNumberFormat="1" applyFont="1" applyFill="1" applyBorder="1" applyAlignment="1" applyProtection="1">
      <alignment horizontal="right" vertical="center" shrinkToFit="1"/>
    </xf>
    <xf numFmtId="179" fontId="53" fillId="0" borderId="38" xfId="0" applyNumberFormat="1" applyFont="1" applyFill="1" applyBorder="1" applyAlignment="1" applyProtection="1">
      <alignment horizontal="right" vertical="center" shrinkToFit="1"/>
    </xf>
    <xf numFmtId="0" fontId="38" fillId="0" borderId="60" xfId="2" applyNumberFormat="1" applyFont="1" applyFill="1" applyBorder="1" applyAlignment="1">
      <alignment vertical="center"/>
    </xf>
    <xf numFmtId="177" fontId="39" fillId="0" borderId="0" xfId="2" applyNumberFormat="1" applyFont="1" applyFill="1" applyBorder="1" applyAlignment="1">
      <alignment horizontal="left" vertical="center"/>
    </xf>
    <xf numFmtId="178" fontId="39" fillId="0" borderId="0" xfId="2" applyNumberFormat="1" applyFont="1" applyFill="1" applyBorder="1" applyAlignment="1">
      <alignment horizontal="right" vertical="center"/>
    </xf>
    <xf numFmtId="180" fontId="39" fillId="0" borderId="0" xfId="2" applyNumberFormat="1" applyFont="1" applyFill="1" applyBorder="1" applyAlignment="1">
      <alignment horizontal="right" vertical="center"/>
    </xf>
    <xf numFmtId="179" fontId="39" fillId="0" borderId="0" xfId="0" applyNumberFormat="1" applyFont="1" applyFill="1" applyBorder="1" applyAlignment="1" applyProtection="1">
      <alignment horizontal="right" vertical="center" shrinkToFit="1"/>
    </xf>
    <xf numFmtId="177" fontId="38" fillId="0" borderId="0" xfId="2" applyNumberFormat="1" applyFont="1" applyFill="1" applyBorder="1" applyAlignment="1">
      <alignment vertical="center"/>
    </xf>
    <xf numFmtId="177" fontId="39" fillId="0" borderId="0" xfId="0" applyNumberFormat="1" applyFont="1" applyFill="1" applyBorder="1" applyAlignment="1" applyProtection="1">
      <alignment horizontal="right" vertical="center" shrinkToFit="1"/>
    </xf>
    <xf numFmtId="0" fontId="38" fillId="0" borderId="11" xfId="2" applyNumberFormat="1" applyFont="1" applyBorder="1" applyAlignment="1">
      <alignment vertical="center"/>
    </xf>
    <xf numFmtId="0" fontId="38" fillId="0" borderId="23" xfId="2" applyNumberFormat="1" applyFont="1" applyBorder="1" applyAlignment="1">
      <alignment horizontal="center" vertical="center"/>
    </xf>
    <xf numFmtId="0" fontId="38" fillId="0" borderId="76" xfId="2" applyNumberFormat="1" applyFont="1" applyFill="1" applyBorder="1" applyAlignment="1">
      <alignment horizontal="left" vertical="center"/>
    </xf>
    <xf numFmtId="41" fontId="38" fillId="0" borderId="76" xfId="2" applyFont="1" applyFill="1" applyBorder="1" applyAlignment="1">
      <alignment vertical="center"/>
    </xf>
    <xf numFmtId="41" fontId="46" fillId="0" borderId="33" xfId="2" applyFont="1" applyFill="1" applyBorder="1" applyAlignment="1">
      <alignment horizontal="center" vertical="center"/>
    </xf>
    <xf numFmtId="177" fontId="38" fillId="0" borderId="38" xfId="2" applyNumberFormat="1" applyFont="1" applyFill="1" applyBorder="1" applyAlignment="1">
      <alignment horizontal="left" vertical="center"/>
    </xf>
    <xf numFmtId="0" fontId="38" fillId="0" borderId="0" xfId="2" applyNumberFormat="1" applyFont="1" applyFill="1" applyBorder="1" applyAlignment="1">
      <alignment horizontal="left" vertical="center" wrapText="1"/>
    </xf>
    <xf numFmtId="184" fontId="38" fillId="0" borderId="0" xfId="2" applyNumberFormat="1" applyFont="1" applyFill="1" applyBorder="1" applyAlignment="1">
      <alignment vertical="center"/>
    </xf>
    <xf numFmtId="0" fontId="38" fillId="0" borderId="75" xfId="2" applyNumberFormat="1" applyFont="1" applyBorder="1" applyAlignment="1">
      <alignment vertical="center"/>
    </xf>
    <xf numFmtId="0" fontId="38" fillId="0" borderId="38" xfId="2" applyNumberFormat="1" applyFont="1" applyFill="1" applyBorder="1" applyAlignment="1">
      <alignment vertical="center"/>
    </xf>
    <xf numFmtId="0" fontId="38" fillId="0" borderId="38" xfId="0" applyNumberFormat="1" applyFont="1" applyFill="1" applyBorder="1" applyAlignment="1" applyProtection="1">
      <alignment horizontal="right" vertical="center" shrinkToFit="1"/>
    </xf>
    <xf numFmtId="177" fontId="46" fillId="0" borderId="48" xfId="0" applyNumberFormat="1" applyFont="1" applyFill="1" applyBorder="1" applyAlignment="1" applyProtection="1">
      <alignment horizontal="right" vertical="center" shrinkToFit="1"/>
    </xf>
    <xf numFmtId="177" fontId="38" fillId="0" borderId="16" xfId="2" applyNumberFormat="1" applyFont="1" applyFill="1" applyBorder="1" applyAlignment="1">
      <alignment horizontal="left" vertical="center" wrapText="1" shrinkToFit="1"/>
    </xf>
    <xf numFmtId="178" fontId="38" fillId="0" borderId="16" xfId="2" applyNumberFormat="1" applyFont="1" applyFill="1" applyBorder="1" applyAlignment="1">
      <alignment vertical="center" wrapText="1"/>
    </xf>
    <xf numFmtId="178" fontId="38" fillId="0" borderId="16" xfId="2" applyNumberFormat="1" applyFont="1" applyFill="1" applyBorder="1" applyAlignment="1">
      <alignment horizontal="center" vertical="center"/>
    </xf>
    <xf numFmtId="180" fontId="38" fillId="0" borderId="16" xfId="2" applyNumberFormat="1" applyFont="1" applyFill="1" applyBorder="1" applyAlignment="1">
      <alignment vertical="center"/>
    </xf>
    <xf numFmtId="178" fontId="38" fillId="0" borderId="52" xfId="2" applyNumberFormat="1" applyFont="1" applyFill="1" applyBorder="1" applyAlignment="1">
      <alignment vertical="center"/>
    </xf>
    <xf numFmtId="38" fontId="38" fillId="0" borderId="75" xfId="2" applyNumberFormat="1" applyFont="1" applyBorder="1" applyAlignment="1">
      <alignment vertical="center" wrapText="1"/>
    </xf>
    <xf numFmtId="177" fontId="38" fillId="0" borderId="76" xfId="2" applyNumberFormat="1" applyFont="1" applyFill="1" applyBorder="1" applyAlignment="1">
      <alignment horizontal="left" vertical="center" wrapText="1" shrinkToFit="1"/>
    </xf>
    <xf numFmtId="177" fontId="38" fillId="0" borderId="33" xfId="2" applyNumberFormat="1" applyFont="1" applyFill="1" applyBorder="1" applyAlignment="1">
      <alignment horizontal="right" vertical="center"/>
    </xf>
    <xf numFmtId="177" fontId="38" fillId="0" borderId="60" xfId="0" applyNumberFormat="1" applyFont="1" applyBorder="1" applyAlignment="1">
      <alignment vertical="center"/>
    </xf>
    <xf numFmtId="177" fontId="38" fillId="0" borderId="60" xfId="0" applyNumberFormat="1" applyFont="1" applyBorder="1" applyAlignment="1">
      <alignment horizontal="right" vertical="center"/>
    </xf>
    <xf numFmtId="0" fontId="38" fillId="0" borderId="34" xfId="0" applyFont="1" applyBorder="1" applyAlignment="1">
      <alignment horizontal="left" vertical="center"/>
    </xf>
    <xf numFmtId="0" fontId="38" fillId="0" borderId="23" xfId="0" applyFont="1" applyBorder="1" applyAlignment="1">
      <alignment vertical="center"/>
    </xf>
    <xf numFmtId="177" fontId="53" fillId="0" borderId="23" xfId="2" applyNumberFormat="1" applyFont="1" applyFill="1" applyBorder="1" applyAlignment="1">
      <alignment horizontal="center" vertical="center"/>
    </xf>
    <xf numFmtId="180" fontId="38" fillId="0" borderId="18" xfId="0" applyNumberFormat="1" applyFont="1" applyFill="1" applyBorder="1" applyAlignment="1" applyProtection="1">
      <alignment horizontal="right" vertical="center" shrinkToFit="1"/>
    </xf>
    <xf numFmtId="177" fontId="38" fillId="0" borderId="15" xfId="2" applyNumberFormat="1" applyFont="1" applyFill="1" applyBorder="1" applyAlignment="1">
      <alignment horizontal="right" vertical="center"/>
    </xf>
    <xf numFmtId="0" fontId="53" fillId="0" borderId="51" xfId="0" applyNumberFormat="1" applyFont="1" applyFill="1" applyBorder="1" applyAlignment="1" applyProtection="1">
      <alignment horizontal="left" vertical="center"/>
    </xf>
    <xf numFmtId="0" fontId="53" fillId="0" borderId="42" xfId="0" applyNumberFormat="1" applyFont="1" applyFill="1" applyBorder="1" applyAlignment="1" applyProtection="1">
      <alignment horizontal="left" vertical="center"/>
    </xf>
    <xf numFmtId="0" fontId="53" fillId="0" borderId="34" xfId="0" applyNumberFormat="1" applyFont="1" applyFill="1" applyBorder="1" applyAlignment="1" applyProtection="1">
      <alignment horizontal="left" vertical="center"/>
    </xf>
    <xf numFmtId="0" fontId="53" fillId="0" borderId="17" xfId="0" applyNumberFormat="1" applyFont="1" applyFill="1" applyBorder="1" applyAlignment="1" applyProtection="1">
      <alignment horizontal="left" vertical="center"/>
    </xf>
    <xf numFmtId="0" fontId="53" fillId="0" borderId="0" xfId="0" applyNumberFormat="1" applyFont="1" applyFill="1" applyBorder="1" applyAlignment="1" applyProtection="1">
      <alignment horizontal="left" vertical="center"/>
    </xf>
    <xf numFmtId="0" fontId="53" fillId="0" borderId="15" xfId="0" applyNumberFormat="1" applyFont="1" applyFill="1" applyBorder="1" applyAlignment="1" applyProtection="1">
      <alignment horizontal="left" vertical="center"/>
    </xf>
    <xf numFmtId="0" fontId="53" fillId="0" borderId="19" xfId="0" applyNumberFormat="1" applyFont="1" applyFill="1" applyBorder="1" applyAlignment="1" applyProtection="1">
      <alignment vertical="center"/>
    </xf>
    <xf numFmtId="0" fontId="53" fillId="0" borderId="14" xfId="0" applyNumberFormat="1" applyFont="1" applyFill="1" applyBorder="1" applyAlignment="1" applyProtection="1">
      <alignment vertical="center" wrapText="1"/>
    </xf>
    <xf numFmtId="177" fontId="55" fillId="14" borderId="54" xfId="2" applyNumberFormat="1" applyFont="1" applyFill="1" applyBorder="1" applyAlignment="1">
      <alignment horizontal="right" vertical="center"/>
    </xf>
    <xf numFmtId="193" fontId="55" fillId="14" borderId="54" xfId="2" applyNumberFormat="1" applyFont="1" applyFill="1" applyBorder="1" applyAlignment="1">
      <alignment horizontal="center" vertical="center"/>
    </xf>
    <xf numFmtId="0" fontId="55" fillId="14" borderId="56" xfId="0" applyFont="1" applyFill="1" applyBorder="1" applyAlignment="1">
      <alignment vertical="center" shrinkToFit="1"/>
    </xf>
    <xf numFmtId="0" fontId="55" fillId="14" borderId="50" xfId="0" applyFont="1" applyFill="1" applyBorder="1" applyAlignment="1">
      <alignment horizontal="left" vertical="center"/>
    </xf>
    <xf numFmtId="178" fontId="55" fillId="14" borderId="50" xfId="0" applyNumberFormat="1" applyFont="1" applyFill="1" applyBorder="1" applyAlignment="1">
      <alignment vertical="center" shrinkToFit="1"/>
    </xf>
    <xf numFmtId="0" fontId="55" fillId="14" borderId="50" xfId="0" applyFont="1" applyFill="1" applyBorder="1" applyAlignment="1">
      <alignment vertical="center" shrinkToFit="1"/>
    </xf>
    <xf numFmtId="179" fontId="55" fillId="14" borderId="50" xfId="0" applyNumberFormat="1" applyFont="1" applyFill="1" applyBorder="1" applyAlignment="1">
      <alignment vertical="center" shrinkToFit="1"/>
    </xf>
    <xf numFmtId="38" fontId="55" fillId="14" borderId="57" xfId="0" applyNumberFormat="1" applyFont="1" applyFill="1" applyBorder="1" applyAlignment="1">
      <alignment vertical="center" shrinkToFit="1"/>
    </xf>
    <xf numFmtId="177" fontId="53" fillId="14" borderId="6" xfId="2" applyNumberFormat="1" applyFont="1" applyFill="1" applyBorder="1" applyAlignment="1" applyProtection="1">
      <alignment horizontal="right" vertical="center" shrinkToFit="1"/>
    </xf>
    <xf numFmtId="177" fontId="53" fillId="14" borderId="78" xfId="2" applyNumberFormat="1" applyFont="1" applyFill="1" applyBorder="1" applyAlignment="1" applyProtection="1">
      <alignment horizontal="right" vertical="center" shrinkToFit="1"/>
    </xf>
    <xf numFmtId="2" fontId="53" fillId="14" borderId="53" xfId="2" applyNumberFormat="1" applyFont="1" applyFill="1" applyBorder="1" applyAlignment="1" applyProtection="1">
      <alignment horizontal="center" vertical="center" shrinkToFit="1"/>
    </xf>
    <xf numFmtId="0" fontId="53" fillId="14" borderId="58" xfId="0" applyFont="1" applyFill="1" applyBorder="1" applyAlignment="1">
      <alignment vertical="center" shrinkToFit="1"/>
    </xf>
    <xf numFmtId="178" fontId="53" fillId="14" borderId="58" xfId="0" applyNumberFormat="1" applyFont="1" applyFill="1" applyBorder="1" applyAlignment="1">
      <alignment vertical="center" shrinkToFit="1"/>
    </xf>
    <xf numFmtId="179" fontId="53" fillId="14" borderId="58" xfId="0" applyNumberFormat="1" applyFont="1" applyFill="1" applyBorder="1" applyAlignment="1">
      <alignment vertical="center" shrinkToFit="1"/>
    </xf>
    <xf numFmtId="38" fontId="55" fillId="14" borderId="31" xfId="0" applyNumberFormat="1" applyFont="1" applyFill="1" applyBorder="1" applyAlignment="1">
      <alignment vertical="center" shrinkToFit="1"/>
    </xf>
    <xf numFmtId="177" fontId="53" fillId="0" borderId="17" xfId="2" applyNumberFormat="1" applyFont="1" applyFill="1" applyBorder="1" applyAlignment="1" applyProtection="1">
      <alignment horizontal="right" vertical="center" shrinkToFit="1"/>
    </xf>
    <xf numFmtId="2" fontId="53" fillId="0" borderId="17" xfId="2" applyNumberFormat="1" applyFont="1" applyFill="1" applyBorder="1" applyAlignment="1" applyProtection="1">
      <alignment horizontal="center" vertical="center" shrinkToFit="1"/>
    </xf>
    <xf numFmtId="177" fontId="53" fillId="0" borderId="34" xfId="2" applyNumberFormat="1" applyFont="1" applyBorder="1" applyAlignment="1">
      <alignment horizontal="center" vertical="center"/>
    </xf>
    <xf numFmtId="0" fontId="57" fillId="0" borderId="18" xfId="0" applyFont="1" applyBorder="1" applyAlignment="1">
      <alignment vertical="center" shrinkToFit="1"/>
    </xf>
    <xf numFmtId="0" fontId="58" fillId="0" borderId="18" xfId="0" applyFont="1" applyBorder="1" applyAlignment="1">
      <alignment vertical="center" shrinkToFit="1"/>
    </xf>
    <xf numFmtId="38" fontId="55" fillId="0" borderId="39" xfId="0" applyNumberFormat="1" applyFont="1" applyFill="1" applyBorder="1" applyAlignment="1">
      <alignment vertical="center" shrinkToFit="1"/>
    </xf>
    <xf numFmtId="177" fontId="53" fillId="0" borderId="15" xfId="2" applyNumberFormat="1" applyFont="1" applyFill="1" applyBorder="1" applyAlignment="1" applyProtection="1">
      <alignment horizontal="right" vertical="center" shrinkToFit="1"/>
    </xf>
    <xf numFmtId="2" fontId="53" fillId="0" borderId="15" xfId="2" applyNumberFormat="1" applyFont="1" applyFill="1" applyBorder="1" applyAlignment="1" applyProtection="1">
      <alignment horizontal="center" vertical="center" shrinkToFit="1"/>
    </xf>
    <xf numFmtId="177" fontId="53" fillId="0" borderId="4" xfId="2" applyNumberFormat="1" applyFont="1" applyBorder="1" applyAlignment="1">
      <alignment horizontal="center" vertical="center"/>
    </xf>
    <xf numFmtId="38" fontId="55" fillId="0" borderId="32" xfId="0" applyNumberFormat="1" applyFont="1" applyFill="1" applyBorder="1" applyAlignment="1">
      <alignment vertical="center" shrinkToFit="1"/>
    </xf>
    <xf numFmtId="177" fontId="53" fillId="0" borderId="14" xfId="2" applyNumberFormat="1" applyFont="1" applyFill="1" applyBorder="1" applyAlignment="1" applyProtection="1">
      <alignment horizontal="right" vertical="center" shrinkToFit="1"/>
    </xf>
    <xf numFmtId="2" fontId="53" fillId="0" borderId="14" xfId="2" applyNumberFormat="1" applyFont="1" applyFill="1" applyBorder="1" applyAlignment="1" applyProtection="1">
      <alignment horizontal="center" vertical="center" shrinkToFit="1"/>
    </xf>
    <xf numFmtId="177" fontId="53" fillId="0" borderId="35" xfId="2" applyNumberFormat="1" applyFont="1" applyBorder="1" applyAlignment="1">
      <alignment horizontal="right" vertical="center"/>
    </xf>
    <xf numFmtId="177" fontId="53" fillId="0" borderId="0" xfId="2" applyNumberFormat="1" applyFont="1" applyBorder="1" applyAlignment="1">
      <alignment horizontal="left" vertical="center" shrinkToFit="1"/>
    </xf>
    <xf numFmtId="0" fontId="53" fillId="0" borderId="0" xfId="0" applyFont="1" applyBorder="1" applyAlignment="1">
      <alignment vertical="center" shrinkToFit="1"/>
    </xf>
    <xf numFmtId="179" fontId="53" fillId="0" borderId="0" xfId="0" applyNumberFormat="1" applyFont="1" applyBorder="1" applyAlignment="1">
      <alignment vertical="center" shrinkToFit="1"/>
    </xf>
    <xf numFmtId="38" fontId="55" fillId="0" borderId="37" xfId="0" applyNumberFormat="1" applyFont="1" applyBorder="1" applyAlignment="1">
      <alignment vertical="center" shrinkToFit="1"/>
    </xf>
    <xf numFmtId="0" fontId="38" fillId="0" borderId="17" xfId="0" applyFont="1" applyBorder="1" applyAlignment="1">
      <alignment vertical="center" wrapText="1"/>
    </xf>
    <xf numFmtId="177" fontId="38" fillId="0" borderId="13" xfId="2" applyNumberFormat="1" applyFont="1" applyBorder="1" applyAlignment="1">
      <alignment horizontal="left" vertical="center"/>
    </xf>
    <xf numFmtId="179" fontId="38" fillId="0" borderId="13" xfId="2" applyNumberFormat="1" applyFont="1" applyBorder="1" applyAlignment="1">
      <alignment horizontal="left" vertical="center"/>
    </xf>
    <xf numFmtId="177" fontId="46" fillId="0" borderId="32" xfId="2" applyNumberFormat="1" applyFont="1" applyBorder="1" applyAlignment="1">
      <alignment horizontal="right" vertical="center"/>
    </xf>
    <xf numFmtId="177" fontId="53" fillId="0" borderId="37" xfId="2" applyNumberFormat="1" applyFont="1" applyBorder="1" applyAlignment="1">
      <alignment horizontal="right" vertical="center"/>
    </xf>
    <xf numFmtId="177" fontId="38" fillId="0" borderId="23" xfId="2" applyNumberFormat="1" applyFont="1" applyBorder="1" applyAlignment="1">
      <alignment horizontal="right" vertical="center"/>
    </xf>
    <xf numFmtId="178" fontId="38" fillId="0" borderId="76" xfId="2" applyNumberFormat="1" applyFont="1" applyBorder="1" applyAlignment="1">
      <alignment horizontal="right" vertical="center"/>
    </xf>
    <xf numFmtId="179" fontId="38" fillId="0" borderId="76" xfId="2" applyNumberFormat="1" applyFont="1" applyBorder="1" applyAlignment="1">
      <alignment horizontal="left" vertical="center"/>
    </xf>
    <xf numFmtId="177" fontId="46" fillId="0" borderId="33" xfId="2" applyNumberFormat="1" applyFont="1" applyBorder="1" applyAlignment="1">
      <alignment horizontal="right" vertical="center"/>
    </xf>
    <xf numFmtId="0" fontId="53" fillId="0" borderId="60" xfId="0" applyFont="1" applyBorder="1" applyAlignment="1">
      <alignment vertical="center"/>
    </xf>
    <xf numFmtId="177" fontId="53" fillId="0" borderId="11" xfId="0" applyNumberFormat="1" applyFont="1" applyBorder="1" applyAlignment="1">
      <alignment vertical="center"/>
    </xf>
    <xf numFmtId="177" fontId="53" fillId="0" borderId="11" xfId="2" applyNumberFormat="1" applyFont="1" applyBorder="1" applyAlignment="1">
      <alignment vertical="center"/>
    </xf>
    <xf numFmtId="177" fontId="53" fillId="0" borderId="12" xfId="2" applyNumberFormat="1" applyFont="1" applyBorder="1" applyAlignment="1">
      <alignment vertical="center"/>
    </xf>
    <xf numFmtId="0" fontId="53" fillId="0" borderId="28" xfId="0" applyFont="1" applyBorder="1" applyAlignment="1">
      <alignment horizontal="left" vertical="center"/>
    </xf>
    <xf numFmtId="0" fontId="53" fillId="0" borderId="13" xfId="0" applyFont="1" applyBorder="1" applyAlignment="1">
      <alignment horizontal="left" vertical="center"/>
    </xf>
    <xf numFmtId="0" fontId="53" fillId="0" borderId="3" xfId="0" applyFont="1" applyBorder="1" applyAlignment="1">
      <alignment horizontal="left" vertical="center"/>
    </xf>
    <xf numFmtId="0" fontId="53" fillId="0" borderId="42" xfId="0" applyFont="1" applyBorder="1" applyAlignment="1">
      <alignment vertical="center"/>
    </xf>
    <xf numFmtId="177" fontId="53" fillId="0" borderId="1" xfId="0" applyNumberFormat="1" applyFont="1" applyBorder="1" applyAlignment="1">
      <alignment vertical="center"/>
    </xf>
    <xf numFmtId="177" fontId="53" fillId="0" borderId="1" xfId="2" applyNumberFormat="1" applyFont="1" applyBorder="1" applyAlignment="1">
      <alignment vertical="center"/>
    </xf>
    <xf numFmtId="177" fontId="53" fillId="0" borderId="9" xfId="2" applyNumberFormat="1" applyFont="1" applyBorder="1" applyAlignment="1">
      <alignment vertical="center"/>
    </xf>
    <xf numFmtId="38" fontId="53" fillId="0" borderId="20" xfId="0" applyNumberFormat="1" applyFont="1" applyBorder="1" applyAlignment="1">
      <alignment vertical="center"/>
    </xf>
    <xf numFmtId="177" fontId="53" fillId="0" borderId="15" xfId="2" applyNumberFormat="1" applyFont="1" applyBorder="1" applyAlignment="1">
      <alignment vertical="center"/>
    </xf>
    <xf numFmtId="177" fontId="53" fillId="0" borderId="26" xfId="2" applyNumberFormat="1" applyFont="1" applyBorder="1" applyAlignment="1">
      <alignment vertical="center"/>
    </xf>
    <xf numFmtId="38" fontId="53" fillId="0" borderId="3" xfId="0" applyNumberFormat="1" applyFont="1" applyBorder="1" applyAlignment="1">
      <alignment vertical="center"/>
    </xf>
    <xf numFmtId="0" fontId="53" fillId="0" borderId="21" xfId="0" applyFont="1" applyBorder="1" applyAlignment="1">
      <alignment horizontal="left" vertical="center"/>
    </xf>
    <xf numFmtId="177" fontId="53" fillId="0" borderId="17" xfId="0" applyNumberFormat="1" applyFont="1" applyBorder="1" applyAlignment="1">
      <alignment vertical="center"/>
    </xf>
    <xf numFmtId="177" fontId="53" fillId="0" borderId="17" xfId="2" applyNumberFormat="1" applyFont="1" applyBorder="1" applyAlignment="1">
      <alignment vertical="center"/>
    </xf>
    <xf numFmtId="177" fontId="53" fillId="0" borderId="83" xfId="2" applyNumberFormat="1" applyFont="1" applyBorder="1" applyAlignment="1">
      <alignment vertical="center"/>
    </xf>
    <xf numFmtId="0" fontId="53" fillId="0" borderId="3" xfId="0" applyFont="1" applyBorder="1" applyAlignment="1">
      <alignment vertical="center"/>
    </xf>
    <xf numFmtId="0" fontId="53" fillId="0" borderId="36" xfId="0" applyFont="1" applyBorder="1" applyAlignment="1">
      <alignment vertical="center"/>
    </xf>
    <xf numFmtId="0" fontId="53" fillId="0" borderId="20" xfId="0" applyFont="1" applyBorder="1" applyAlignment="1">
      <alignment vertical="center"/>
    </xf>
    <xf numFmtId="177" fontId="53" fillId="0" borderId="15" xfId="0" applyNumberFormat="1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0" fontId="53" fillId="0" borderId="1" xfId="0" applyFont="1" applyBorder="1" applyAlignment="1">
      <alignment vertical="center"/>
    </xf>
    <xf numFmtId="0" fontId="53" fillId="0" borderId="46" xfId="0" applyFont="1" applyBorder="1" applyAlignment="1">
      <alignment horizontal="left" vertical="center"/>
    </xf>
    <xf numFmtId="0" fontId="53" fillId="0" borderId="20" xfId="0" applyFont="1" applyBorder="1" applyAlignment="1">
      <alignment horizontal="left" vertical="center"/>
    </xf>
    <xf numFmtId="0" fontId="53" fillId="0" borderId="62" xfId="0" applyFont="1" applyBorder="1" applyAlignment="1">
      <alignment vertical="center"/>
    </xf>
    <xf numFmtId="0" fontId="53" fillId="0" borderId="4" xfId="0" applyFont="1" applyBorder="1" applyAlignment="1">
      <alignment vertical="center"/>
    </xf>
    <xf numFmtId="0" fontId="53" fillId="0" borderId="41" xfId="0" applyFont="1" applyBorder="1" applyAlignment="1">
      <alignment vertical="center"/>
    </xf>
    <xf numFmtId="0" fontId="53" fillId="0" borderId="4" xfId="0" applyFont="1" applyBorder="1" applyAlignment="1">
      <alignment horizontal="left" vertical="center"/>
    </xf>
    <xf numFmtId="0" fontId="53" fillId="0" borderId="49" xfId="0" applyFont="1" applyBorder="1" applyAlignment="1">
      <alignment vertical="center"/>
    </xf>
    <xf numFmtId="0" fontId="53" fillId="0" borderId="60" xfId="0" applyFont="1" applyBorder="1" applyAlignment="1">
      <alignment horizontal="left" vertical="center"/>
    </xf>
    <xf numFmtId="177" fontId="53" fillId="0" borderId="60" xfId="0" applyNumberFormat="1" applyFont="1" applyBorder="1" applyAlignment="1">
      <alignment horizontal="right" vertical="center"/>
    </xf>
    <xf numFmtId="177" fontId="53" fillId="0" borderId="60" xfId="2" applyNumberFormat="1" applyFont="1" applyBorder="1" applyAlignment="1">
      <alignment vertical="center"/>
    </xf>
    <xf numFmtId="177" fontId="53" fillId="0" borderId="79" xfId="2" applyNumberFormat="1" applyFont="1" applyBorder="1" applyAlignment="1">
      <alignment vertical="center"/>
    </xf>
    <xf numFmtId="0" fontId="53" fillId="0" borderId="61" xfId="0" applyFont="1" applyBorder="1" applyAlignment="1">
      <alignment vertical="center"/>
    </xf>
    <xf numFmtId="0" fontId="53" fillId="0" borderId="15" xfId="0" applyFont="1" applyBorder="1" applyAlignment="1">
      <alignment horizontal="left" vertical="center"/>
    </xf>
    <xf numFmtId="177" fontId="53" fillId="0" borderId="15" xfId="0" applyNumberFormat="1" applyFont="1" applyBorder="1" applyAlignment="1">
      <alignment horizontal="right" vertical="center"/>
    </xf>
    <xf numFmtId="0" fontId="53" fillId="0" borderId="41" xfId="0" applyNumberFormat="1" applyFont="1" applyFill="1" applyBorder="1" applyAlignment="1">
      <alignment vertical="center"/>
    </xf>
    <xf numFmtId="0" fontId="53" fillId="0" borderId="61" xfId="0" applyNumberFormat="1" applyFont="1" applyFill="1" applyBorder="1" applyAlignment="1">
      <alignment vertical="center"/>
    </xf>
    <xf numFmtId="0" fontId="53" fillId="0" borderId="1" xfId="0" applyNumberFormat="1" applyFont="1" applyFill="1" applyBorder="1" applyAlignment="1">
      <alignment vertical="center"/>
    </xf>
    <xf numFmtId="0" fontId="53" fillId="0" borderId="20" xfId="0" applyNumberFormat="1" applyFont="1" applyFill="1" applyBorder="1" applyAlignment="1">
      <alignment vertical="center"/>
    </xf>
    <xf numFmtId="177" fontId="53" fillId="0" borderId="15" xfId="2" applyNumberFormat="1" applyFont="1" applyFill="1" applyBorder="1" applyAlignment="1">
      <alignment vertical="center"/>
    </xf>
    <xf numFmtId="177" fontId="53" fillId="0" borderId="15" xfId="0" applyNumberFormat="1" applyFont="1" applyFill="1" applyBorder="1" applyAlignment="1">
      <alignment vertical="center"/>
    </xf>
    <xf numFmtId="1" fontId="53" fillId="0" borderId="26" xfId="0" applyNumberFormat="1" applyFont="1" applyFill="1" applyBorder="1" applyAlignment="1">
      <alignment vertical="center"/>
    </xf>
    <xf numFmtId="177" fontId="53" fillId="12" borderId="1" xfId="0" applyNumberFormat="1" applyFont="1" applyFill="1" applyBorder="1" applyAlignment="1">
      <alignment vertical="center"/>
    </xf>
    <xf numFmtId="177" fontId="53" fillId="0" borderId="26" xfId="0" applyNumberFormat="1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3" fillId="0" borderId="17" xfId="0" applyFont="1" applyBorder="1" applyAlignment="1">
      <alignment horizontal="left" vertical="center"/>
    </xf>
    <xf numFmtId="177" fontId="53" fillId="0" borderId="60" xfId="0" applyNumberFormat="1" applyFont="1" applyBorder="1" applyAlignment="1">
      <alignment vertical="center"/>
    </xf>
    <xf numFmtId="177" fontId="53" fillId="12" borderId="60" xfId="0" applyNumberFormat="1" applyFont="1" applyFill="1" applyBorder="1" applyAlignment="1">
      <alignment vertical="center"/>
    </xf>
    <xf numFmtId="177" fontId="53" fillId="0" borderId="79" xfId="0" applyNumberFormat="1" applyFont="1" applyBorder="1" applyAlignment="1">
      <alignment vertical="center"/>
    </xf>
    <xf numFmtId="177" fontId="53" fillId="0" borderId="14" xfId="0" applyNumberFormat="1" applyFont="1" applyBorder="1" applyAlignment="1">
      <alignment vertical="center"/>
    </xf>
    <xf numFmtId="177" fontId="53" fillId="12" borderId="15" xfId="0" applyNumberFormat="1" applyFont="1" applyFill="1" applyBorder="1" applyAlignment="1">
      <alignment vertical="center"/>
    </xf>
    <xf numFmtId="177" fontId="53" fillId="14" borderId="6" xfId="2" applyNumberFormat="1" applyFont="1" applyFill="1" applyBorder="1" applyAlignment="1">
      <alignment vertical="center"/>
    </xf>
    <xf numFmtId="177" fontId="53" fillId="14" borderId="6" xfId="0" applyNumberFormat="1" applyFont="1" applyFill="1" applyBorder="1" applyAlignment="1">
      <alignment vertical="center"/>
    </xf>
    <xf numFmtId="2" fontId="53" fillId="14" borderId="7" xfId="0" applyNumberFormat="1" applyFont="1" applyFill="1" applyBorder="1" applyAlignment="1">
      <alignment vertical="center"/>
    </xf>
    <xf numFmtId="2" fontId="53" fillId="14" borderId="7" xfId="2" applyNumberFormat="1" applyFont="1" applyFill="1" applyBorder="1" applyAlignment="1">
      <alignment vertical="center"/>
    </xf>
    <xf numFmtId="177" fontId="53" fillId="0" borderId="52" xfId="0" applyNumberFormat="1" applyFont="1" applyBorder="1" applyAlignment="1">
      <alignment horizontal="right" vertical="center"/>
    </xf>
    <xf numFmtId="0" fontId="24" fillId="0" borderId="0" xfId="0" applyFont="1" applyAlignment="1">
      <alignment horizontal="justify" vertical="center" wrapText="1"/>
    </xf>
    <xf numFmtId="0" fontId="0" fillId="0" borderId="0" xfId="0" applyAlignment="1">
      <alignment vertical="center"/>
    </xf>
    <xf numFmtId="0" fontId="18" fillId="0" borderId="38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26" fillId="13" borderId="0" xfId="0" applyFont="1" applyFill="1" applyAlignment="1">
      <alignment horizontal="justify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 wrapText="1"/>
    </xf>
    <xf numFmtId="0" fontId="24" fillId="0" borderId="0" xfId="0" applyFont="1" applyAlignment="1">
      <alignment horizontal="right" vertical="center"/>
    </xf>
    <xf numFmtId="0" fontId="43" fillId="0" borderId="0" xfId="0" applyFont="1" applyAlignment="1">
      <alignment horizontal="left" vertical="justify" wrapText="1"/>
    </xf>
    <xf numFmtId="0" fontId="43" fillId="0" borderId="0" xfId="0" applyFont="1" applyAlignment="1">
      <alignment horizontal="left" vertical="justify"/>
    </xf>
    <xf numFmtId="0" fontId="50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16" fillId="0" borderId="38" xfId="0" applyFont="1" applyBorder="1" applyAlignment="1">
      <alignment horizontal="right" vertical="center" shrinkToFit="1"/>
    </xf>
    <xf numFmtId="0" fontId="16" fillId="0" borderId="38" xfId="0" applyFont="1" applyBorder="1" applyAlignment="1">
      <alignment horizontal="right" vertical="center"/>
    </xf>
    <xf numFmtId="41" fontId="46" fillId="14" borderId="63" xfId="0" applyNumberFormat="1" applyFont="1" applyFill="1" applyBorder="1" applyAlignment="1">
      <alignment horizontal="center" vertical="center" shrinkToFit="1"/>
    </xf>
    <xf numFmtId="41" fontId="46" fillId="14" borderId="54" xfId="0" applyNumberFormat="1" applyFont="1" applyFill="1" applyBorder="1" applyAlignment="1">
      <alignment horizontal="center" vertical="center" shrinkToFit="1"/>
    </xf>
    <xf numFmtId="41" fontId="46" fillId="14" borderId="64" xfId="0" applyNumberFormat="1" applyFont="1" applyFill="1" applyBorder="1" applyAlignment="1">
      <alignment horizontal="center" vertical="center" shrinkToFit="1"/>
    </xf>
    <xf numFmtId="41" fontId="48" fillId="14" borderId="63" xfId="0" applyNumberFormat="1" applyFont="1" applyFill="1" applyBorder="1" applyAlignment="1">
      <alignment horizontal="center" vertical="center" shrinkToFit="1"/>
    </xf>
    <xf numFmtId="41" fontId="48" fillId="14" borderId="54" xfId="0" applyNumberFormat="1" applyFont="1" applyFill="1" applyBorder="1" applyAlignment="1">
      <alignment horizontal="center" vertical="center" shrinkToFit="1"/>
    </xf>
    <xf numFmtId="41" fontId="48" fillId="14" borderId="64" xfId="0" applyNumberFormat="1" applyFont="1" applyFill="1" applyBorder="1" applyAlignment="1">
      <alignment horizontal="center" vertical="center" shrinkToFit="1"/>
    </xf>
    <xf numFmtId="41" fontId="12" fillId="14" borderId="6" xfId="0" applyNumberFormat="1" applyFont="1" applyFill="1" applyBorder="1" applyAlignment="1">
      <alignment horizontal="center" vertical="center" shrinkToFit="1"/>
    </xf>
    <xf numFmtId="41" fontId="12" fillId="14" borderId="7" xfId="0" applyNumberFormat="1" applyFont="1" applyFill="1" applyBorder="1" applyAlignment="1">
      <alignment horizontal="center" vertical="center" shrinkToFit="1"/>
    </xf>
    <xf numFmtId="41" fontId="12" fillId="14" borderId="11" xfId="0" applyNumberFormat="1" applyFont="1" applyFill="1" applyBorder="1" applyAlignment="1">
      <alignment horizontal="center" vertical="center" shrinkToFit="1"/>
    </xf>
    <xf numFmtId="41" fontId="12" fillId="14" borderId="5" xfId="0" applyNumberFormat="1" applyFont="1" applyFill="1" applyBorder="1" applyAlignment="1">
      <alignment horizontal="center" vertical="center" shrinkToFit="1"/>
    </xf>
    <xf numFmtId="41" fontId="12" fillId="14" borderId="10" xfId="0" applyNumberFormat="1" applyFont="1" applyFill="1" applyBorder="1" applyAlignment="1">
      <alignment horizontal="center" vertical="center" shrinkToFit="1"/>
    </xf>
    <xf numFmtId="41" fontId="12" fillId="14" borderId="53" xfId="0" applyNumberFormat="1" applyFont="1" applyFill="1" applyBorder="1" applyAlignment="1">
      <alignment horizontal="center" vertical="center" wrapText="1" shrinkToFit="1"/>
    </xf>
    <xf numFmtId="41" fontId="12" fillId="14" borderId="60" xfId="0" applyNumberFormat="1" applyFont="1" applyFill="1" applyBorder="1" applyAlignment="1">
      <alignment horizontal="center" vertical="center" shrinkToFit="1"/>
    </xf>
    <xf numFmtId="0" fontId="38" fillId="0" borderId="4" xfId="0" applyFont="1" applyBorder="1" applyAlignment="1">
      <alignment horizontal="left" vertical="center"/>
    </xf>
    <xf numFmtId="0" fontId="38" fillId="0" borderId="3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53" fillId="0" borderId="28" xfId="0" applyNumberFormat="1" applyFont="1" applyFill="1" applyBorder="1" applyAlignment="1">
      <alignment vertical="center"/>
    </xf>
    <xf numFmtId="0" fontId="53" fillId="0" borderId="13" xfId="0" applyNumberFormat="1" applyFont="1" applyFill="1" applyBorder="1" applyAlignment="1">
      <alignment vertical="center"/>
    </xf>
    <xf numFmtId="0" fontId="53" fillId="0" borderId="3" xfId="0" applyNumberFormat="1" applyFont="1" applyFill="1" applyBorder="1" applyAlignment="1">
      <alignment vertical="center"/>
    </xf>
    <xf numFmtId="0" fontId="53" fillId="0" borderId="28" xfId="0" applyFont="1" applyBorder="1" applyAlignment="1">
      <alignment horizontal="left" vertical="center"/>
    </xf>
    <xf numFmtId="0" fontId="53" fillId="0" borderId="13" xfId="0" applyFont="1" applyBorder="1" applyAlignment="1">
      <alignment horizontal="left" vertical="center"/>
    </xf>
    <xf numFmtId="0" fontId="53" fillId="0" borderId="3" xfId="0" applyFont="1" applyBorder="1" applyAlignment="1">
      <alignment horizontal="left" vertical="center"/>
    </xf>
    <xf numFmtId="0" fontId="38" fillId="0" borderId="28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3" xfId="0" applyFont="1" applyBorder="1" applyAlignment="1">
      <alignment vertical="center"/>
    </xf>
    <xf numFmtId="0" fontId="53" fillId="0" borderId="4" xfId="0" applyFont="1" applyBorder="1" applyAlignment="1">
      <alignment horizontal="left" vertical="center"/>
    </xf>
    <xf numFmtId="0" fontId="53" fillId="14" borderId="5" xfId="0" applyNumberFormat="1" applyFont="1" applyFill="1" applyBorder="1" applyAlignment="1">
      <alignment horizontal="center" vertical="center"/>
    </xf>
    <xf numFmtId="0" fontId="53" fillId="14" borderId="6" xfId="0" applyNumberFormat="1" applyFont="1" applyFill="1" applyBorder="1" applyAlignment="1">
      <alignment horizontal="center" vertical="center"/>
    </xf>
    <xf numFmtId="0" fontId="53" fillId="14" borderId="5" xfId="0" applyFont="1" applyFill="1" applyBorder="1" applyAlignment="1">
      <alignment horizontal="center" vertical="center"/>
    </xf>
    <xf numFmtId="0" fontId="53" fillId="14" borderId="6" xfId="0" applyFont="1" applyFill="1" applyBorder="1" applyAlignment="1">
      <alignment horizontal="center" vertical="center"/>
    </xf>
    <xf numFmtId="0" fontId="53" fillId="0" borderId="47" xfId="0" applyFont="1" applyBorder="1" applyAlignment="1">
      <alignment horizontal="left" vertical="center"/>
    </xf>
    <xf numFmtId="0" fontId="53" fillId="0" borderId="38" xfId="0" applyFont="1" applyBorder="1" applyAlignment="1">
      <alignment horizontal="left" vertical="center"/>
    </xf>
    <xf numFmtId="0" fontId="53" fillId="0" borderId="75" xfId="0" applyFont="1" applyBorder="1" applyAlignment="1">
      <alignment horizontal="left" vertical="center"/>
    </xf>
    <xf numFmtId="0" fontId="38" fillId="0" borderId="16" xfId="0" applyFont="1" applyBorder="1" applyAlignment="1">
      <alignment horizontal="left" vertical="center"/>
    </xf>
    <xf numFmtId="0" fontId="38" fillId="0" borderId="20" xfId="0" applyFont="1" applyBorder="1" applyAlignment="1">
      <alignment horizontal="left" vertical="center"/>
    </xf>
    <xf numFmtId="0" fontId="53" fillId="0" borderId="36" xfId="0" applyFont="1" applyBorder="1" applyAlignment="1">
      <alignment horizontal="left" vertical="center"/>
    </xf>
    <xf numFmtId="0" fontId="53" fillId="0" borderId="20" xfId="0" applyFont="1" applyBorder="1" applyAlignment="1">
      <alignment horizontal="left" vertical="center"/>
    </xf>
    <xf numFmtId="177" fontId="53" fillId="0" borderId="0" xfId="2" applyNumberFormat="1" applyFont="1" applyBorder="1" applyAlignment="1">
      <alignment horizontal="left" vertical="center"/>
    </xf>
    <xf numFmtId="178" fontId="38" fillId="0" borderId="0" xfId="0" applyNumberFormat="1" applyFont="1" applyFill="1" applyBorder="1" applyAlignment="1" applyProtection="1">
      <alignment horizontal="center" vertical="center" shrinkToFit="1"/>
    </xf>
    <xf numFmtId="178" fontId="38" fillId="0" borderId="0" xfId="2" quotePrefix="1" applyNumberFormat="1" applyFont="1" applyFill="1" applyBorder="1" applyAlignment="1" applyProtection="1">
      <alignment horizontal="center" vertical="center" shrinkToFit="1"/>
    </xf>
    <xf numFmtId="0" fontId="38" fillId="14" borderId="22" xfId="0" applyNumberFormat="1" applyFont="1" applyFill="1" applyBorder="1" applyAlignment="1" applyProtection="1">
      <alignment horizontal="left" vertical="center"/>
    </xf>
    <xf numFmtId="0" fontId="38" fillId="14" borderId="59" xfId="0" applyNumberFormat="1" applyFont="1" applyFill="1" applyBorder="1" applyAlignment="1" applyProtection="1">
      <alignment horizontal="left" vertical="center"/>
    </xf>
    <xf numFmtId="0" fontId="46" fillId="14" borderId="65" xfId="2" applyNumberFormat="1" applyFont="1" applyFill="1" applyBorder="1" applyAlignment="1">
      <alignment vertical="center"/>
    </xf>
    <xf numFmtId="0" fontId="46" fillId="14" borderId="50" xfId="2" applyNumberFormat="1" applyFont="1" applyFill="1" applyBorder="1" applyAlignment="1">
      <alignment vertical="center"/>
    </xf>
    <xf numFmtId="0" fontId="46" fillId="14" borderId="55" xfId="2" applyNumberFormat="1" applyFont="1" applyFill="1" applyBorder="1" applyAlignment="1">
      <alignment vertical="center"/>
    </xf>
    <xf numFmtId="0" fontId="38" fillId="14" borderId="22" xfId="2" applyNumberFormat="1" applyFont="1" applyFill="1" applyBorder="1" applyAlignment="1">
      <alignment vertical="center"/>
    </xf>
    <xf numFmtId="0" fontId="38" fillId="14" borderId="59" xfId="2" applyNumberFormat="1" applyFont="1" applyFill="1" applyBorder="1" applyAlignment="1">
      <alignment vertical="center"/>
    </xf>
    <xf numFmtId="0" fontId="55" fillId="14" borderId="65" xfId="0" applyNumberFormat="1" applyFont="1" applyFill="1" applyBorder="1" applyAlignment="1" applyProtection="1">
      <alignment vertical="center"/>
    </xf>
    <xf numFmtId="0" fontId="55" fillId="14" borderId="50" xfId="0" applyNumberFormat="1" applyFont="1" applyFill="1" applyBorder="1" applyAlignment="1" applyProtection="1">
      <alignment vertical="center"/>
    </xf>
    <xf numFmtId="0" fontId="55" fillId="14" borderId="55" xfId="0" applyNumberFormat="1" applyFont="1" applyFill="1" applyBorder="1" applyAlignment="1" applyProtection="1">
      <alignment vertical="center"/>
    </xf>
    <xf numFmtId="0" fontId="53" fillId="14" borderId="22" xfId="0" applyNumberFormat="1" applyFont="1" applyFill="1" applyBorder="1" applyAlignment="1" applyProtection="1">
      <alignment horizontal="left" vertical="center"/>
    </xf>
    <xf numFmtId="0" fontId="53" fillId="14" borderId="59" xfId="0" applyNumberFormat="1" applyFont="1" applyFill="1" applyBorder="1" applyAlignment="1" applyProtection="1">
      <alignment horizontal="left" vertical="center"/>
    </xf>
    <xf numFmtId="0" fontId="46" fillId="14" borderId="65" xfId="0" applyNumberFormat="1" applyFont="1" applyFill="1" applyBorder="1" applyAlignment="1" applyProtection="1">
      <alignment vertical="center"/>
    </xf>
    <xf numFmtId="0" fontId="46" fillId="14" borderId="50" xfId="0" applyNumberFormat="1" applyFont="1" applyFill="1" applyBorder="1" applyAlignment="1" applyProtection="1">
      <alignment vertical="center"/>
    </xf>
    <xf numFmtId="0" fontId="46" fillId="14" borderId="55" xfId="0" applyNumberFormat="1" applyFont="1" applyFill="1" applyBorder="1" applyAlignment="1" applyProtection="1">
      <alignment vertical="center"/>
    </xf>
    <xf numFmtId="41" fontId="46" fillId="14" borderId="77" xfId="0" applyNumberFormat="1" applyFont="1" applyFill="1" applyBorder="1" applyAlignment="1">
      <alignment horizontal="center" vertical="center" shrinkToFit="1"/>
    </xf>
    <xf numFmtId="0" fontId="46" fillId="14" borderId="76" xfId="0" applyFont="1" applyFill="1" applyBorder="1" applyAlignment="1">
      <alignment horizontal="center" vertical="center" shrinkToFit="1"/>
    </xf>
    <xf numFmtId="0" fontId="46" fillId="14" borderId="75" xfId="0" applyFont="1" applyFill="1" applyBorder="1" applyAlignment="1">
      <alignment horizontal="center" vertical="center" shrinkToFit="1"/>
    </xf>
    <xf numFmtId="41" fontId="38" fillId="14" borderId="5" xfId="0" applyNumberFormat="1" applyFont="1" applyFill="1" applyBorder="1" applyAlignment="1">
      <alignment horizontal="center" vertical="center"/>
    </xf>
    <xf numFmtId="41" fontId="38" fillId="14" borderId="8" xfId="0" applyNumberFormat="1" applyFont="1" applyFill="1" applyBorder="1" applyAlignment="1">
      <alignment horizontal="center" vertical="center"/>
    </xf>
    <xf numFmtId="41" fontId="38" fillId="14" borderId="6" xfId="0" applyNumberFormat="1" applyFont="1" applyFill="1" applyBorder="1" applyAlignment="1">
      <alignment horizontal="center" vertical="center" shrinkToFit="1"/>
    </xf>
    <xf numFmtId="41" fontId="38" fillId="14" borderId="1" xfId="0" applyNumberFormat="1" applyFont="1" applyFill="1" applyBorder="1" applyAlignment="1">
      <alignment horizontal="center" vertical="center" shrinkToFit="1"/>
    </xf>
    <xf numFmtId="0" fontId="38" fillId="14" borderId="66" xfId="0" applyFont="1" applyFill="1" applyBorder="1" applyAlignment="1">
      <alignment horizontal="center" vertical="center" shrinkToFit="1"/>
    </xf>
    <xf numFmtId="0" fontId="38" fillId="14" borderId="43" xfId="0" applyFont="1" applyFill="1" applyBorder="1" applyAlignment="1">
      <alignment vertical="center" shrinkToFit="1"/>
    </xf>
    <xf numFmtId="0" fontId="38" fillId="14" borderId="44" xfId="0" applyFont="1" applyFill="1" applyBorder="1" applyAlignment="1">
      <alignment vertical="center"/>
    </xf>
    <xf numFmtId="0" fontId="38" fillId="14" borderId="36" xfId="0" applyFont="1" applyFill="1" applyBorder="1" applyAlignment="1">
      <alignment vertical="center" shrinkToFit="1"/>
    </xf>
    <xf numFmtId="0" fontId="38" fillId="14" borderId="16" xfId="0" applyFont="1" applyFill="1" applyBorder="1" applyAlignment="1">
      <alignment vertical="center" shrinkToFit="1"/>
    </xf>
    <xf numFmtId="0" fontId="38" fillId="14" borderId="52" xfId="0" applyFont="1" applyFill="1" applyBorder="1" applyAlignment="1">
      <alignment vertical="center"/>
    </xf>
    <xf numFmtId="41" fontId="38" fillId="14" borderId="53" xfId="0" applyNumberFormat="1" applyFont="1" applyFill="1" applyBorder="1" applyAlignment="1">
      <alignment horizontal="center" vertical="center" wrapText="1" shrinkToFit="1"/>
    </xf>
    <xf numFmtId="41" fontId="38" fillId="14" borderId="15" xfId="0" applyNumberFormat="1" applyFont="1" applyFill="1" applyBorder="1" applyAlignment="1">
      <alignment horizontal="center" vertical="center" shrinkToFit="1"/>
    </xf>
    <xf numFmtId="177" fontId="38" fillId="14" borderId="6" xfId="0" applyNumberFormat="1" applyFont="1" applyFill="1" applyBorder="1" applyAlignment="1">
      <alignment horizontal="center" vertical="center" shrinkToFit="1"/>
    </xf>
    <xf numFmtId="41" fontId="46" fillId="14" borderId="65" xfId="0" applyNumberFormat="1" applyFont="1" applyFill="1" applyBorder="1" applyAlignment="1">
      <alignment vertical="center" shrinkToFit="1"/>
    </xf>
    <xf numFmtId="41" fontId="46" fillId="14" borderId="50" xfId="0" applyNumberFormat="1" applyFont="1" applyFill="1" applyBorder="1" applyAlignment="1">
      <alignment vertical="center" shrinkToFit="1"/>
    </xf>
    <xf numFmtId="41" fontId="46" fillId="14" borderId="55" xfId="0" applyNumberFormat="1" applyFont="1" applyFill="1" applyBorder="1" applyAlignment="1">
      <alignment vertical="center" shrinkToFit="1"/>
    </xf>
    <xf numFmtId="0" fontId="38" fillId="15" borderId="22" xfId="0" applyFont="1" applyFill="1" applyBorder="1" applyAlignment="1">
      <alignment vertical="center" shrinkToFit="1"/>
    </xf>
    <xf numFmtId="0" fontId="38" fillId="15" borderId="59" xfId="0" applyFont="1" applyFill="1" applyBorder="1" applyAlignment="1">
      <alignment vertical="center" shrinkToFit="1"/>
    </xf>
    <xf numFmtId="177" fontId="53" fillId="0" borderId="0" xfId="2" applyNumberFormat="1" applyFont="1" applyFill="1" applyBorder="1" applyAlignment="1">
      <alignment vertical="center" wrapText="1" shrinkToFit="1"/>
    </xf>
    <xf numFmtId="177" fontId="38" fillId="0" borderId="18" xfId="2" applyNumberFormat="1" applyFont="1" applyBorder="1" applyAlignment="1">
      <alignment horizontal="left" vertical="center" shrinkToFit="1"/>
    </xf>
    <xf numFmtId="177" fontId="53" fillId="0" borderId="38" xfId="2" applyNumberFormat="1" applyFont="1" applyBorder="1" applyAlignment="1">
      <alignment horizontal="left" vertical="center" shrinkToFit="1"/>
    </xf>
    <xf numFmtId="178" fontId="53" fillId="0" borderId="76" xfId="2" applyNumberFormat="1" applyFont="1" applyBorder="1" applyAlignment="1">
      <alignment horizontal="left" vertical="center"/>
    </xf>
    <xf numFmtId="0" fontId="46" fillId="14" borderId="47" xfId="0" applyFont="1" applyFill="1" applyBorder="1" applyAlignment="1">
      <alignment vertical="center"/>
    </xf>
    <xf numFmtId="0" fontId="46" fillId="14" borderId="38" xfId="0" applyFont="1" applyFill="1" applyBorder="1" applyAlignment="1">
      <alignment vertical="center"/>
    </xf>
    <xf numFmtId="0" fontId="46" fillId="14" borderId="75" xfId="0" applyFont="1" applyFill="1" applyBorder="1" applyAlignment="1">
      <alignment vertical="center"/>
    </xf>
    <xf numFmtId="177" fontId="56" fillId="0" borderId="76" xfId="2" applyNumberFormat="1" applyFont="1" applyFill="1" applyBorder="1" applyAlignment="1">
      <alignment horizontal="left" vertical="center"/>
    </xf>
    <xf numFmtId="0" fontId="57" fillId="0" borderId="13" xfId="0" applyFont="1" applyBorder="1" applyAlignment="1">
      <alignment horizontal="left" vertical="center" shrinkToFit="1"/>
    </xf>
    <xf numFmtId="177" fontId="53" fillId="0" borderId="38" xfId="2" applyNumberFormat="1" applyFont="1" applyFill="1" applyBorder="1" applyAlignment="1">
      <alignment horizontal="left" vertical="center" wrapText="1"/>
    </xf>
    <xf numFmtId="177" fontId="53" fillId="0" borderId="16" xfId="2" applyNumberFormat="1" applyFont="1" applyFill="1" applyBorder="1" applyAlignment="1">
      <alignment horizontal="left" vertical="center"/>
    </xf>
    <xf numFmtId="178" fontId="53" fillId="0" borderId="18" xfId="2" applyNumberFormat="1" applyFont="1" applyFill="1" applyBorder="1" applyAlignment="1">
      <alignment horizontal="left" vertical="center"/>
    </xf>
    <xf numFmtId="0" fontId="38" fillId="14" borderId="36" xfId="2" applyNumberFormat="1" applyFont="1" applyFill="1" applyBorder="1" applyAlignment="1">
      <alignment vertical="center"/>
    </xf>
    <xf numFmtId="0" fontId="38" fillId="14" borderId="20" xfId="2" applyNumberFormat="1" applyFont="1" applyFill="1" applyBorder="1" applyAlignment="1">
      <alignment vertical="center"/>
    </xf>
    <xf numFmtId="0" fontId="46" fillId="14" borderId="65" xfId="2" applyNumberFormat="1" applyFont="1" applyFill="1" applyBorder="1" applyAlignment="1">
      <alignment horizontal="left" vertical="center"/>
    </xf>
    <xf numFmtId="0" fontId="46" fillId="14" borderId="50" xfId="2" applyNumberFormat="1" applyFont="1" applyFill="1" applyBorder="1" applyAlignment="1">
      <alignment horizontal="left" vertical="center"/>
    </xf>
    <xf numFmtId="0" fontId="46" fillId="14" borderId="55" xfId="2" applyNumberFormat="1" applyFont="1" applyFill="1" applyBorder="1" applyAlignment="1">
      <alignment horizontal="left" vertical="center"/>
    </xf>
    <xf numFmtId="177" fontId="53" fillId="0" borderId="16" xfId="2" applyNumberFormat="1" applyFont="1" applyFill="1" applyBorder="1" applyAlignment="1">
      <alignment horizontal="left" vertical="center" wrapText="1" shrinkToFit="1"/>
    </xf>
    <xf numFmtId="177" fontId="38" fillId="0" borderId="0" xfId="2" applyNumberFormat="1" applyFont="1" applyFill="1" applyBorder="1" applyAlignment="1">
      <alignment vertical="center" wrapText="1" shrinkToFit="1"/>
    </xf>
    <xf numFmtId="177" fontId="38" fillId="0" borderId="0" xfId="2" applyNumberFormat="1" applyFont="1" applyFill="1" applyBorder="1" applyAlignment="1">
      <alignment horizontal="left" vertical="center" shrinkToFit="1"/>
    </xf>
    <xf numFmtId="177" fontId="38" fillId="0" borderId="0" xfId="2" applyNumberFormat="1" applyFont="1" applyFill="1" applyBorder="1" applyAlignment="1">
      <alignment horizontal="left" vertical="center" wrapText="1" shrinkToFit="1"/>
    </xf>
    <xf numFmtId="177" fontId="38" fillId="0" borderId="38" xfId="2" applyNumberFormat="1" applyFont="1" applyFill="1" applyBorder="1" applyAlignment="1">
      <alignment horizontal="left" vertical="center" wrapText="1" shrinkToFit="1"/>
    </xf>
    <xf numFmtId="0" fontId="38" fillId="14" borderId="36" xfId="2" applyNumberFormat="1" applyFont="1" applyFill="1" applyBorder="1" applyAlignment="1">
      <alignment horizontal="left" vertical="center"/>
    </xf>
    <xf numFmtId="0" fontId="38" fillId="14" borderId="20" xfId="2" applyNumberFormat="1" applyFont="1" applyFill="1" applyBorder="1" applyAlignment="1">
      <alignment horizontal="left" vertical="center"/>
    </xf>
    <xf numFmtId="178" fontId="38" fillId="0" borderId="18" xfId="2" applyNumberFormat="1" applyFont="1" applyFill="1" applyBorder="1" applyAlignment="1">
      <alignment horizontal="left" vertical="center"/>
    </xf>
    <xf numFmtId="177" fontId="38" fillId="0" borderId="0" xfId="2" applyNumberFormat="1" applyFont="1" applyFill="1" applyBorder="1" applyAlignment="1">
      <alignment vertical="center" wrapText="1"/>
    </xf>
    <xf numFmtId="0" fontId="38" fillId="14" borderId="22" xfId="0" applyFont="1" applyFill="1" applyBorder="1" applyAlignment="1">
      <alignment horizontal="center" vertical="center" shrinkToFit="1"/>
    </xf>
    <xf numFmtId="0" fontId="38" fillId="14" borderId="58" xfId="0" applyFont="1" applyFill="1" applyBorder="1" applyAlignment="1">
      <alignment vertical="center" shrinkToFit="1"/>
    </xf>
    <xf numFmtId="0" fontId="38" fillId="14" borderId="31" xfId="0" applyFont="1" applyFill="1" applyBorder="1" applyAlignment="1">
      <alignment vertical="center" shrinkToFit="1"/>
    </xf>
    <xf numFmtId="0" fontId="38" fillId="14" borderId="4" xfId="0" applyFont="1" applyFill="1" applyBorder="1" applyAlignment="1">
      <alignment vertical="center" shrinkToFit="1"/>
    </xf>
    <xf numFmtId="0" fontId="38" fillId="14" borderId="13" xfId="0" applyFont="1" applyFill="1" applyBorder="1" applyAlignment="1">
      <alignment vertical="center" shrinkToFit="1"/>
    </xf>
    <xf numFmtId="0" fontId="38" fillId="14" borderId="32" xfId="0" applyFont="1" applyFill="1" applyBorder="1" applyAlignment="1">
      <alignment vertical="center" shrinkToFit="1"/>
    </xf>
    <xf numFmtId="0" fontId="46" fillId="14" borderId="77" xfId="2" applyNumberFormat="1" applyFont="1" applyFill="1" applyBorder="1" applyAlignment="1">
      <alignment horizontal="center" vertical="center"/>
    </xf>
    <xf numFmtId="0" fontId="46" fillId="14" borderId="76" xfId="2" applyNumberFormat="1" applyFont="1" applyFill="1" applyBorder="1" applyAlignment="1">
      <alignment horizontal="center" vertical="center"/>
    </xf>
    <xf numFmtId="0" fontId="46" fillId="14" borderId="72" xfId="2" applyNumberFormat="1" applyFont="1" applyFill="1" applyBorder="1" applyAlignment="1">
      <alignment horizontal="center" vertical="center"/>
    </xf>
    <xf numFmtId="41" fontId="38" fillId="14" borderId="5" xfId="0" applyNumberFormat="1" applyFont="1" applyFill="1" applyBorder="1" applyAlignment="1">
      <alignment horizontal="center" vertical="center" shrinkToFit="1"/>
    </xf>
    <xf numFmtId="41" fontId="38" fillId="14" borderId="8" xfId="0" applyNumberFormat="1" applyFont="1" applyFill="1" applyBorder="1" applyAlignment="1">
      <alignment horizontal="center" vertical="center" shrinkToFit="1"/>
    </xf>
    <xf numFmtId="0" fontId="38" fillId="14" borderId="4" xfId="2" applyNumberFormat="1" applyFont="1" applyFill="1" applyBorder="1" applyAlignment="1">
      <alignment vertical="center"/>
    </xf>
    <xf numFmtId="0" fontId="38" fillId="14" borderId="3" xfId="2" applyNumberFormat="1" applyFont="1" applyFill="1" applyBorder="1" applyAlignment="1">
      <alignment vertical="center"/>
    </xf>
    <xf numFmtId="178" fontId="38" fillId="0" borderId="0" xfId="2" applyNumberFormat="1" applyFont="1" applyFill="1" applyBorder="1" applyAlignment="1">
      <alignment horizontal="center" vertical="center"/>
    </xf>
    <xf numFmtId="177" fontId="38" fillId="0" borderId="0" xfId="2" applyNumberFormat="1" applyFont="1" applyFill="1" applyBorder="1" applyAlignment="1">
      <alignment horizontal="left" vertical="center" wrapText="1"/>
    </xf>
    <xf numFmtId="180" fontId="38" fillId="0" borderId="0" xfId="0" applyNumberFormat="1" applyFont="1" applyFill="1" applyBorder="1" applyAlignment="1" applyProtection="1">
      <alignment horizontal="center" vertical="center" shrinkToFit="1"/>
    </xf>
    <xf numFmtId="179" fontId="38" fillId="0" borderId="0" xfId="2" applyNumberFormat="1" applyFont="1" applyFill="1" applyBorder="1" applyAlignment="1">
      <alignment horizontal="center" vertical="center"/>
    </xf>
    <xf numFmtId="179" fontId="38" fillId="0" borderId="38" xfId="2" applyNumberFormat="1" applyFont="1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 shrinkToFit="1"/>
    </xf>
    <xf numFmtId="0" fontId="0" fillId="8" borderId="34" xfId="0" applyFill="1" applyBorder="1" applyAlignment="1">
      <alignment vertical="center" shrinkToFit="1"/>
    </xf>
    <xf numFmtId="0" fontId="0" fillId="4" borderId="30" xfId="0" applyFill="1" applyBorder="1" applyAlignment="1">
      <alignment horizontal="center" vertical="center" shrinkToFit="1"/>
    </xf>
    <xf numFmtId="0" fontId="0" fillId="4" borderId="71" xfId="0" applyFill="1" applyBorder="1" applyAlignment="1">
      <alignment vertical="center" shrinkToFit="1"/>
    </xf>
    <xf numFmtId="0" fontId="0" fillId="11" borderId="30" xfId="0" applyFill="1" applyBorder="1" applyAlignment="1">
      <alignment horizontal="center" vertical="center" shrinkToFit="1"/>
    </xf>
    <xf numFmtId="0" fontId="0" fillId="11" borderId="71" xfId="0" applyFill="1" applyBorder="1" applyAlignment="1">
      <alignment vertical="center" shrinkToFit="1"/>
    </xf>
    <xf numFmtId="0" fontId="0" fillId="5" borderId="7" xfId="0" applyFill="1" applyBorder="1" applyAlignment="1">
      <alignment horizontal="center" vertical="center" shrinkToFit="1"/>
    </xf>
    <xf numFmtId="0" fontId="0" fillId="5" borderId="12" xfId="0" applyFill="1" applyBorder="1" applyAlignment="1">
      <alignment vertical="center" shrinkToFit="1"/>
    </xf>
    <xf numFmtId="0" fontId="0" fillId="8" borderId="30" xfId="0" applyFill="1" applyBorder="1" applyAlignment="1">
      <alignment horizontal="center" vertical="center" shrinkToFit="1"/>
    </xf>
    <xf numFmtId="0" fontId="0" fillId="8" borderId="29" xfId="0" applyFill="1" applyBorder="1" applyAlignment="1">
      <alignment vertical="center" shrinkToFit="1"/>
    </xf>
    <xf numFmtId="0" fontId="0" fillId="8" borderId="59" xfId="0" applyFill="1" applyBorder="1" applyAlignment="1">
      <alignment horizontal="center" vertical="center" shrinkToFit="1"/>
    </xf>
    <xf numFmtId="0" fontId="0" fillId="8" borderId="21" xfId="0" applyFill="1" applyBorder="1" applyAlignment="1">
      <alignment vertical="center" shrinkToFit="1"/>
    </xf>
    <xf numFmtId="0" fontId="0" fillId="8" borderId="6" xfId="0" applyFill="1" applyBorder="1" applyAlignment="1">
      <alignment horizontal="center" vertical="center" shrinkToFit="1"/>
    </xf>
    <xf numFmtId="0" fontId="0" fillId="8" borderId="17" xfId="0" applyFill="1" applyBorder="1" applyAlignment="1">
      <alignment vertical="center" shrinkToFit="1"/>
    </xf>
    <xf numFmtId="0" fontId="0" fillId="10" borderId="30" xfId="0" applyFill="1" applyBorder="1" applyAlignment="1">
      <alignment horizontal="center" vertical="center" shrinkToFit="1"/>
    </xf>
    <xf numFmtId="0" fontId="0" fillId="10" borderId="29" xfId="0" applyFill="1" applyBorder="1" applyAlignment="1">
      <alignment vertical="center" shrinkToFit="1"/>
    </xf>
    <xf numFmtId="0" fontId="0" fillId="9" borderId="59" xfId="0" applyFill="1" applyBorder="1" applyAlignment="1">
      <alignment horizontal="center" vertical="center" shrinkToFit="1"/>
    </xf>
    <xf numFmtId="0" fontId="0" fillId="9" borderId="72" xfId="0" applyFill="1" applyBorder="1" applyAlignment="1">
      <alignment vertical="center" shrinkToFit="1"/>
    </xf>
    <xf numFmtId="0" fontId="0" fillId="9" borderId="22" xfId="0" applyFill="1" applyBorder="1" applyAlignment="1">
      <alignment horizontal="center" vertical="center" shrinkToFit="1"/>
    </xf>
    <xf numFmtId="0" fontId="0" fillId="9" borderId="31" xfId="0" applyFill="1" applyBorder="1" applyAlignment="1">
      <alignment horizontal="center" vertical="center" shrinkToFit="1"/>
    </xf>
    <xf numFmtId="177" fontId="0" fillId="0" borderId="27" xfId="0" applyNumberFormat="1" applyBorder="1" applyAlignment="1">
      <alignment horizontal="center" vertical="center" shrinkToFit="1"/>
    </xf>
    <xf numFmtId="177" fontId="0" fillId="0" borderId="58" xfId="0" applyNumberForma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9" borderId="5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shrinkToFit="1"/>
    </xf>
    <xf numFmtId="0" fontId="0" fillId="9" borderId="12" xfId="0" applyFill="1" applyBorder="1" applyAlignment="1">
      <alignment horizontal="center" vertical="center" shrinkToFit="1"/>
    </xf>
    <xf numFmtId="0" fontId="0" fillId="9" borderId="6" xfId="0" applyFill="1" applyBorder="1" applyAlignment="1">
      <alignment horizontal="center" vertical="center" shrinkToFit="1"/>
    </xf>
    <xf numFmtId="0" fontId="0" fillId="9" borderId="11" xfId="0" applyFill="1" applyBorder="1" applyAlignment="1">
      <alignment vertical="center" shrinkToFit="1"/>
    </xf>
  </cellXfs>
  <cellStyles count="5">
    <cellStyle name="백분율" xfId="1" builtinId="5"/>
    <cellStyle name="쉼표 [0]" xfId="2" builtinId="6"/>
    <cellStyle name="쉼표 [0] 2" xfId="4"/>
    <cellStyle name="표준" xfId="0" builtinId="0"/>
    <cellStyle name="표준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29</xdr:row>
      <xdr:rowOff>85725</xdr:rowOff>
    </xdr:from>
    <xdr:to>
      <xdr:col>6</xdr:col>
      <xdr:colOff>485775</xdr:colOff>
      <xdr:row>31</xdr:row>
      <xdr:rowOff>114300</xdr:rowOff>
    </xdr:to>
    <xdr:pic>
      <xdr:nvPicPr>
        <xdr:cNvPr id="28231" name="Picture 24" descr="예천노인전문요양원장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6677025"/>
          <a:ext cx="41338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609600</xdr:colOff>
      <xdr:row>0</xdr:row>
      <xdr:rowOff>57150</xdr:rowOff>
    </xdr:from>
    <xdr:to>
      <xdr:col>6</xdr:col>
      <xdr:colOff>752475</xdr:colOff>
      <xdr:row>2</xdr:row>
      <xdr:rowOff>19050</xdr:rowOff>
    </xdr:to>
    <xdr:pic>
      <xdr:nvPicPr>
        <xdr:cNvPr id="28232" name="Picture 26" descr="예천노인전문요양원조합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7150"/>
          <a:ext cx="48958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609600</xdr:colOff>
      <xdr:row>39</xdr:row>
      <xdr:rowOff>0</xdr:rowOff>
    </xdr:from>
    <xdr:to>
      <xdr:col>6</xdr:col>
      <xdr:colOff>752475</xdr:colOff>
      <xdr:row>40</xdr:row>
      <xdr:rowOff>190500</xdr:rowOff>
    </xdr:to>
    <xdr:pic>
      <xdr:nvPicPr>
        <xdr:cNvPr id="28233" name="Picture 31" descr="예천노인전문요양원조합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686800"/>
          <a:ext cx="48958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49352;&#48341;&#50896;%202019&#45380;&#46020;%20&#51228;2&#52264;%20&#52628;&#44032;&#44221;&#51221;%20&#49464;&#51077;&#183;&#49464;&#52636;%20&#50696;&#49328;(&#44608;&#50500;&#4749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기안문"/>
      <sheetName val="총칙"/>
      <sheetName val="총괄"/>
      <sheetName val="세입"/>
      <sheetName val="세출"/>
      <sheetName val="예"/>
      <sheetName val="Sheet1"/>
      <sheetName val="Sheet2"/>
      <sheetName val="기간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관</v>
          </cell>
          <cell r="B2" t="str">
            <v>항</v>
          </cell>
          <cell r="C2" t="str">
            <v>목</v>
          </cell>
          <cell r="F2" t="str">
            <v>증감(B)-(A)</v>
          </cell>
          <cell r="H2" t="str">
            <v>예산산출내역</v>
          </cell>
        </row>
        <row r="3">
          <cell r="F3" t="str">
            <v>액수</v>
          </cell>
          <cell r="G3" t="str">
            <v>비율(%)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opLeftCell="A58" workbookViewId="0">
      <selection activeCell="B63" sqref="B63"/>
    </sheetView>
  </sheetViews>
  <sheetFormatPr defaultColWidth="9" defaultRowHeight="18" customHeight="1" x14ac:dyDescent="0.15"/>
  <cols>
    <col min="1" max="4" width="9" style="158" customWidth="1"/>
    <col min="5" max="5" width="8.109375" style="158" customWidth="1"/>
    <col min="6" max="6" width="11.33203125" style="158" customWidth="1"/>
    <col min="7" max="7" width="9" style="158" customWidth="1"/>
    <col min="8" max="8" width="15.6640625" style="158" customWidth="1"/>
    <col min="9" max="9" width="5.33203125" style="158" customWidth="1"/>
    <col min="10" max="16384" width="9" style="158"/>
  </cols>
  <sheetData>
    <row r="1" spans="1:8" ht="18" customHeight="1" x14ac:dyDescent="0.15">
      <c r="A1" s="956"/>
      <c r="B1" s="950"/>
      <c r="C1" s="950"/>
      <c r="D1" s="950"/>
      <c r="E1" s="950"/>
      <c r="F1" s="950"/>
      <c r="G1" s="950"/>
      <c r="H1" s="950"/>
    </row>
    <row r="2" spans="1:8" ht="18" customHeight="1" x14ac:dyDescent="0.15">
      <c r="A2" s="156"/>
      <c r="B2" s="156"/>
      <c r="C2" s="156"/>
      <c r="D2" s="156"/>
      <c r="E2" s="156"/>
      <c r="F2" s="156"/>
      <c r="G2" s="156"/>
      <c r="H2" s="156"/>
    </row>
    <row r="3" spans="1:8" ht="12" customHeight="1" x14ac:dyDescent="0.15">
      <c r="A3" s="156"/>
      <c r="B3" s="156"/>
      <c r="C3" s="156"/>
      <c r="D3" s="156"/>
      <c r="E3" s="156"/>
      <c r="F3" s="156"/>
      <c r="G3" s="156"/>
      <c r="H3" s="156"/>
    </row>
    <row r="4" spans="1:8" ht="18" customHeight="1" x14ac:dyDescent="0.15">
      <c r="A4" s="159" t="s">
        <v>0</v>
      </c>
      <c r="B4" s="157" t="s">
        <v>1</v>
      </c>
      <c r="C4" s="157"/>
      <c r="D4" s="157"/>
      <c r="E4" s="157"/>
      <c r="F4" s="157"/>
      <c r="G4" s="157"/>
      <c r="H4" s="157"/>
    </row>
    <row r="5" spans="1:8" ht="18" customHeight="1" x14ac:dyDescent="0.15">
      <c r="A5" s="159" t="s">
        <v>2</v>
      </c>
      <c r="B5" s="157" t="s">
        <v>3</v>
      </c>
      <c r="C5" s="157"/>
      <c r="D5" s="157"/>
      <c r="E5" s="157"/>
      <c r="F5" s="157"/>
      <c r="G5" s="157"/>
      <c r="H5" s="157"/>
    </row>
    <row r="6" spans="1:8" ht="21" customHeight="1" x14ac:dyDescent="0.15">
      <c r="A6" s="160" t="s">
        <v>4</v>
      </c>
      <c r="B6" s="951" t="s">
        <v>5</v>
      </c>
      <c r="C6" s="952"/>
      <c r="D6" s="952"/>
      <c r="E6" s="952"/>
      <c r="F6" s="952"/>
      <c r="G6" s="952"/>
      <c r="H6" s="952"/>
    </row>
    <row r="7" spans="1:8" ht="18" customHeight="1" x14ac:dyDescent="0.15">
      <c r="A7" s="161"/>
      <c r="B7" s="162"/>
      <c r="C7" s="162"/>
      <c r="D7" s="162"/>
      <c r="E7" s="162"/>
      <c r="F7" s="162"/>
      <c r="G7" s="162"/>
      <c r="H7" s="157"/>
    </row>
    <row r="8" spans="1:8" ht="18" customHeight="1" x14ac:dyDescent="0.15">
      <c r="A8" s="163" t="s">
        <v>6</v>
      </c>
      <c r="B8" s="164"/>
      <c r="C8" s="164"/>
      <c r="D8" s="164"/>
      <c r="E8" s="164"/>
      <c r="F8" s="164"/>
      <c r="G8" s="164"/>
      <c r="H8" s="164"/>
    </row>
    <row r="9" spans="1:8" ht="18" customHeight="1" x14ac:dyDescent="0.15">
      <c r="A9" s="164"/>
      <c r="B9" s="164"/>
      <c r="C9" s="164"/>
      <c r="D9" s="164"/>
      <c r="E9" s="164"/>
      <c r="F9" s="164"/>
      <c r="G9" s="164"/>
      <c r="H9" s="164"/>
    </row>
    <row r="10" spans="1:8" ht="18" customHeight="1" x14ac:dyDescent="0.15">
      <c r="A10" s="163"/>
      <c r="B10" s="164"/>
      <c r="C10" s="164"/>
      <c r="D10" s="164"/>
      <c r="E10" s="164"/>
      <c r="F10" s="164"/>
      <c r="G10" s="164"/>
      <c r="H10" s="164"/>
    </row>
    <row r="11" spans="1:8" ht="18" customHeight="1" x14ac:dyDescent="0.15">
      <c r="A11" s="163"/>
      <c r="B11" s="164"/>
      <c r="C11" s="164"/>
      <c r="D11" s="164"/>
      <c r="E11" s="164"/>
      <c r="F11" s="164"/>
      <c r="G11" s="164"/>
      <c r="H11" s="164"/>
    </row>
    <row r="12" spans="1:8" ht="18" customHeight="1" x14ac:dyDescent="0.15">
      <c r="A12" s="163"/>
      <c r="B12" s="164"/>
      <c r="C12" s="164"/>
      <c r="D12" s="164"/>
      <c r="E12" s="164"/>
      <c r="F12" s="164"/>
      <c r="G12" s="164"/>
      <c r="H12" s="164"/>
    </row>
    <row r="13" spans="1:8" ht="18" customHeight="1" x14ac:dyDescent="0.15">
      <c r="A13" s="163"/>
      <c r="B13" s="164"/>
      <c r="C13" s="164"/>
      <c r="D13" s="164"/>
      <c r="E13" s="164"/>
      <c r="F13" s="164"/>
      <c r="G13" s="164"/>
      <c r="H13" s="164"/>
    </row>
    <row r="14" spans="1:8" ht="18" customHeight="1" x14ac:dyDescent="0.15">
      <c r="A14" s="163"/>
      <c r="B14" s="164"/>
      <c r="C14" s="164"/>
      <c r="D14" s="164"/>
      <c r="E14" s="164"/>
      <c r="F14" s="164"/>
      <c r="G14" s="164"/>
      <c r="H14" s="164"/>
    </row>
    <row r="15" spans="1:8" ht="18" customHeight="1" x14ac:dyDescent="0.15">
      <c r="A15" s="163"/>
      <c r="B15" s="164"/>
      <c r="C15" s="164"/>
      <c r="D15" s="164"/>
      <c r="E15" s="164"/>
      <c r="F15" s="164"/>
      <c r="G15" s="164"/>
      <c r="H15" s="164"/>
    </row>
    <row r="16" spans="1:8" ht="18" customHeight="1" x14ac:dyDescent="0.15">
      <c r="A16" s="163"/>
      <c r="B16" s="164"/>
      <c r="C16" s="164"/>
      <c r="D16" s="164"/>
      <c r="E16" s="164"/>
      <c r="F16" s="164"/>
      <c r="G16" s="164"/>
      <c r="H16" s="164"/>
    </row>
    <row r="17" spans="1:8" ht="18" customHeight="1" x14ac:dyDescent="0.15">
      <c r="A17" s="163"/>
      <c r="B17" s="164"/>
      <c r="C17" s="164"/>
      <c r="D17" s="164"/>
      <c r="E17" s="164"/>
      <c r="F17" s="164"/>
      <c r="G17" s="164"/>
      <c r="H17" s="164"/>
    </row>
    <row r="18" spans="1:8" ht="18" customHeight="1" x14ac:dyDescent="0.15">
      <c r="A18" s="163"/>
      <c r="B18" s="164"/>
      <c r="C18" s="164"/>
      <c r="D18" s="164"/>
      <c r="E18" s="164"/>
      <c r="F18" s="164"/>
      <c r="G18" s="164"/>
      <c r="H18" s="164"/>
    </row>
    <row r="19" spans="1:8" ht="18" customHeight="1" x14ac:dyDescent="0.15">
      <c r="A19" s="163"/>
      <c r="B19" s="164"/>
      <c r="C19" s="164"/>
      <c r="D19" s="164"/>
      <c r="E19" s="164"/>
      <c r="F19" s="164"/>
      <c r="G19" s="164"/>
      <c r="H19" s="164"/>
    </row>
    <row r="20" spans="1:8" ht="18" customHeight="1" x14ac:dyDescent="0.15">
      <c r="A20" s="163"/>
      <c r="B20" s="164"/>
      <c r="C20" s="164"/>
      <c r="D20" s="164"/>
      <c r="E20" s="164"/>
      <c r="F20" s="164"/>
      <c r="G20" s="164"/>
      <c r="H20" s="164"/>
    </row>
    <row r="21" spans="1:8" ht="18" customHeight="1" x14ac:dyDescent="0.15">
      <c r="A21" s="163"/>
      <c r="B21" s="164"/>
      <c r="C21" s="164"/>
      <c r="D21" s="164"/>
      <c r="E21" s="164"/>
      <c r="F21" s="164"/>
      <c r="G21" s="164"/>
      <c r="H21" s="164"/>
    </row>
    <row r="22" spans="1:8" ht="18" customHeight="1" x14ac:dyDescent="0.15">
      <c r="A22" s="163"/>
      <c r="B22" s="164"/>
      <c r="C22" s="164"/>
      <c r="D22" s="164"/>
      <c r="E22" s="164"/>
      <c r="F22" s="164"/>
      <c r="G22" s="164"/>
      <c r="H22" s="164"/>
    </row>
    <row r="23" spans="1:8" ht="18" customHeight="1" x14ac:dyDescent="0.15">
      <c r="A23" s="163"/>
      <c r="B23" s="164"/>
      <c r="C23" s="164"/>
      <c r="D23" s="164"/>
      <c r="E23" s="164"/>
      <c r="F23" s="164"/>
      <c r="G23" s="164"/>
      <c r="H23" s="164"/>
    </row>
    <row r="24" spans="1:8" ht="18" customHeight="1" x14ac:dyDescent="0.15">
      <c r="A24" s="163"/>
      <c r="B24" s="164"/>
      <c r="C24" s="164"/>
      <c r="D24" s="164"/>
      <c r="E24" s="164"/>
      <c r="F24" s="164"/>
      <c r="G24" s="164"/>
      <c r="H24" s="164"/>
    </row>
    <row r="25" spans="1:8" ht="18" customHeight="1" x14ac:dyDescent="0.15">
      <c r="A25" s="163"/>
      <c r="B25" s="164"/>
      <c r="C25" s="164"/>
      <c r="D25" s="164"/>
      <c r="E25" s="164"/>
      <c r="F25" s="164"/>
      <c r="G25" s="164"/>
      <c r="H25" s="164"/>
    </row>
    <row r="26" spans="1:8" ht="18" customHeight="1" x14ac:dyDescent="0.15">
      <c r="A26" s="163"/>
      <c r="B26" s="164"/>
      <c r="C26" s="164"/>
      <c r="D26" s="164"/>
      <c r="E26" s="164"/>
      <c r="F26" s="164"/>
      <c r="G26" s="164"/>
      <c r="H26" s="164"/>
    </row>
    <row r="27" spans="1:8" ht="18" customHeight="1" x14ac:dyDescent="0.15">
      <c r="A27" s="159" t="s">
        <v>7</v>
      </c>
      <c r="B27" s="164" t="s">
        <v>8</v>
      </c>
      <c r="C27" s="164"/>
      <c r="D27" s="164"/>
      <c r="E27" s="164"/>
      <c r="F27" s="164"/>
      <c r="G27" s="164"/>
      <c r="H27" s="164"/>
    </row>
    <row r="28" spans="1:8" ht="18" customHeight="1" x14ac:dyDescent="0.15">
      <c r="A28" s="159"/>
      <c r="B28" s="164"/>
      <c r="C28" s="164"/>
      <c r="D28" s="164"/>
      <c r="E28" s="164"/>
      <c r="F28" s="164"/>
      <c r="G28" s="164"/>
      <c r="H28" s="164"/>
    </row>
    <row r="29" spans="1:8" ht="18" customHeight="1" x14ac:dyDescent="0.15">
      <c r="A29" s="159"/>
      <c r="B29" s="164"/>
      <c r="C29" s="164"/>
      <c r="D29" s="164"/>
      <c r="E29" s="164"/>
      <c r="F29" s="164"/>
      <c r="G29" s="164"/>
      <c r="H29" s="164"/>
    </row>
    <row r="30" spans="1:8" ht="18" customHeight="1" x14ac:dyDescent="0.15">
      <c r="A30" s="159"/>
    </row>
    <row r="31" spans="1:8" ht="18" customHeight="1" x14ac:dyDescent="0.15">
      <c r="A31" s="159"/>
    </row>
    <row r="32" spans="1:8" ht="18" customHeight="1" x14ac:dyDescent="0.15">
      <c r="A32" s="159"/>
    </row>
    <row r="33" spans="1:8" ht="18" customHeight="1" x14ac:dyDescent="0.15">
      <c r="A33" s="159"/>
    </row>
    <row r="34" spans="1:8" ht="3" customHeight="1" x14ac:dyDescent="0.15">
      <c r="A34" s="953"/>
      <c r="B34" s="953"/>
      <c r="C34" s="953"/>
      <c r="D34" s="953"/>
      <c r="E34" s="953"/>
      <c r="F34" s="953"/>
      <c r="G34" s="953"/>
      <c r="H34" s="165"/>
    </row>
    <row r="35" spans="1:8" ht="18" customHeight="1" x14ac:dyDescent="0.15">
      <c r="A35" s="166" t="s">
        <v>9</v>
      </c>
      <c r="B35" s="167" t="s">
        <v>10</v>
      </c>
      <c r="C35" s="166"/>
      <c r="D35" s="168" t="s">
        <v>3</v>
      </c>
      <c r="E35" s="167" t="s">
        <v>10</v>
      </c>
      <c r="F35" s="169" t="s">
        <v>11</v>
      </c>
      <c r="G35" s="169" t="s">
        <v>12</v>
      </c>
      <c r="H35" s="156"/>
    </row>
    <row r="36" spans="1:8" ht="18" customHeight="1" x14ac:dyDescent="0.15">
      <c r="A36" s="166" t="s">
        <v>13</v>
      </c>
      <c r="B36" s="167"/>
      <c r="C36" s="167"/>
      <c r="D36" s="167"/>
      <c r="E36" s="167"/>
      <c r="F36" s="167"/>
      <c r="G36" s="167"/>
      <c r="H36" s="156"/>
    </row>
    <row r="37" spans="1:8" ht="18" customHeight="1" x14ac:dyDescent="0.15">
      <c r="A37" s="166" t="s">
        <v>14</v>
      </c>
      <c r="B37" s="949" t="s">
        <v>15</v>
      </c>
      <c r="C37" s="949"/>
      <c r="D37" s="949" t="s">
        <v>16</v>
      </c>
      <c r="E37" s="949"/>
      <c r="F37" s="949" t="s">
        <v>17</v>
      </c>
      <c r="G37" s="949"/>
      <c r="H37" s="954"/>
    </row>
    <row r="38" spans="1:8" ht="18" customHeight="1" x14ac:dyDescent="0.15">
      <c r="A38" s="170" t="s">
        <v>18</v>
      </c>
      <c r="B38" s="949" t="s">
        <v>19</v>
      </c>
      <c r="C38" s="955"/>
      <c r="D38" s="955"/>
      <c r="E38" s="955"/>
      <c r="F38" s="949" t="s">
        <v>20</v>
      </c>
      <c r="G38" s="955"/>
      <c r="H38" s="156"/>
    </row>
    <row r="39" spans="1:8" ht="18" customHeight="1" x14ac:dyDescent="0.15">
      <c r="A39" s="949" t="s">
        <v>21</v>
      </c>
      <c r="B39" s="949"/>
      <c r="C39" s="949" t="s">
        <v>22</v>
      </c>
      <c r="D39" s="949"/>
      <c r="E39" s="949" t="s">
        <v>23</v>
      </c>
      <c r="F39" s="949"/>
      <c r="G39" s="949"/>
      <c r="H39" s="950"/>
    </row>
    <row r="40" spans="1:8" ht="18" customHeight="1" x14ac:dyDescent="0.15">
      <c r="A40" s="956"/>
      <c r="B40" s="950"/>
      <c r="C40" s="950"/>
      <c r="D40" s="950"/>
      <c r="E40" s="950"/>
      <c r="F40" s="950"/>
      <c r="G40" s="950"/>
      <c r="H40" s="950"/>
    </row>
    <row r="41" spans="1:8" ht="18" customHeight="1" x14ac:dyDescent="0.15">
      <c r="A41" s="156"/>
      <c r="B41" s="156"/>
      <c r="C41" s="156"/>
      <c r="D41" s="156"/>
      <c r="E41" s="156"/>
      <c r="F41" s="156"/>
      <c r="G41" s="156"/>
      <c r="H41" s="156"/>
    </row>
    <row r="42" spans="1:8" ht="18" customHeight="1" x14ac:dyDescent="0.15">
      <c r="A42" s="156"/>
      <c r="B42" s="156"/>
      <c r="C42" s="156"/>
      <c r="D42" s="156"/>
      <c r="E42" s="156"/>
      <c r="F42" s="156"/>
      <c r="G42" s="156"/>
      <c r="H42" s="156"/>
    </row>
    <row r="43" spans="1:8" ht="18" customHeight="1" x14ac:dyDescent="0.15">
      <c r="A43" s="159" t="s">
        <v>0</v>
      </c>
      <c r="B43" s="157" t="s">
        <v>1</v>
      </c>
      <c r="C43" s="157"/>
      <c r="D43" s="157"/>
      <c r="E43" s="157"/>
      <c r="F43" s="157"/>
      <c r="G43" s="157"/>
      <c r="H43" s="157"/>
    </row>
    <row r="44" spans="1:8" ht="18" customHeight="1" x14ac:dyDescent="0.15">
      <c r="A44" s="159" t="s">
        <v>2</v>
      </c>
      <c r="B44" s="157" t="s">
        <v>3</v>
      </c>
      <c r="C44" s="157"/>
      <c r="D44" s="157"/>
      <c r="E44" s="157"/>
      <c r="F44" s="157"/>
      <c r="G44" s="157"/>
      <c r="H44" s="157"/>
    </row>
    <row r="45" spans="1:8" ht="18" customHeight="1" x14ac:dyDescent="0.15">
      <c r="A45" s="160" t="s">
        <v>4</v>
      </c>
      <c r="B45" s="951" t="str">
        <f>B6</f>
        <v>예천노인전문요양원 2011년 추가경정 예산(안)  심의건</v>
      </c>
      <c r="C45" s="952"/>
      <c r="D45" s="952"/>
      <c r="E45" s="952"/>
      <c r="F45" s="952"/>
      <c r="G45" s="952"/>
      <c r="H45" s="952"/>
    </row>
    <row r="46" spans="1:8" ht="18" customHeight="1" x14ac:dyDescent="0.15">
      <c r="A46" s="161"/>
      <c r="B46" s="162"/>
      <c r="C46" s="162"/>
      <c r="D46" s="162"/>
      <c r="E46" s="162"/>
      <c r="F46" s="162"/>
      <c r="G46" s="162"/>
      <c r="H46" s="157"/>
    </row>
    <row r="47" spans="1:8" ht="18" customHeight="1" x14ac:dyDescent="0.15">
      <c r="A47" s="163" t="str">
        <f>A8</f>
        <v>           1. 예천노인전문요양원 2011년 예산(안) 을 심의하여 주시기 바랍니다.</v>
      </c>
      <c r="B47" s="164"/>
      <c r="C47" s="164"/>
      <c r="D47" s="164"/>
      <c r="E47" s="164"/>
      <c r="F47" s="164"/>
      <c r="G47" s="164"/>
      <c r="H47" s="164"/>
    </row>
    <row r="48" spans="1:8" ht="18" customHeight="1" x14ac:dyDescent="0.15">
      <c r="A48" s="164"/>
      <c r="B48" s="164"/>
      <c r="C48" s="164"/>
      <c r="D48" s="164"/>
      <c r="E48" s="164"/>
      <c r="F48" s="164"/>
      <c r="G48" s="164"/>
      <c r="H48" s="164"/>
    </row>
    <row r="49" spans="1:8" ht="18" customHeight="1" x14ac:dyDescent="0.15">
      <c r="A49" s="163"/>
      <c r="B49" s="164"/>
      <c r="C49" s="164"/>
      <c r="D49" s="164"/>
      <c r="E49" s="164"/>
      <c r="F49" s="164"/>
      <c r="G49" s="164"/>
      <c r="H49" s="164"/>
    </row>
    <row r="50" spans="1:8" ht="18" customHeight="1" x14ac:dyDescent="0.15">
      <c r="A50" s="163"/>
      <c r="B50" s="164"/>
      <c r="C50" s="164"/>
      <c r="D50" s="164"/>
      <c r="E50" s="164"/>
      <c r="F50" s="164"/>
      <c r="G50" s="164"/>
      <c r="H50" s="164"/>
    </row>
    <row r="51" spans="1:8" ht="18" customHeight="1" x14ac:dyDescent="0.15">
      <c r="A51" s="163"/>
      <c r="B51" s="164"/>
      <c r="C51" s="164"/>
      <c r="D51" s="164"/>
      <c r="E51" s="164"/>
      <c r="F51" s="164"/>
      <c r="G51" s="164"/>
      <c r="H51" s="164"/>
    </row>
    <row r="52" spans="1:8" ht="18" customHeight="1" x14ac:dyDescent="0.15">
      <c r="A52" s="163"/>
      <c r="B52" s="164"/>
      <c r="C52" s="164"/>
      <c r="D52" s="164"/>
      <c r="E52" s="164"/>
      <c r="F52" s="164"/>
      <c r="G52" s="164"/>
      <c r="H52" s="164"/>
    </row>
    <row r="53" spans="1:8" ht="18" customHeight="1" x14ac:dyDescent="0.15">
      <c r="A53" s="163"/>
      <c r="B53" s="164"/>
      <c r="C53" s="164"/>
      <c r="D53" s="164"/>
      <c r="E53" s="164"/>
      <c r="F53" s="164"/>
      <c r="G53" s="164"/>
      <c r="H53" s="164"/>
    </row>
    <row r="54" spans="1:8" ht="18" customHeight="1" x14ac:dyDescent="0.15">
      <c r="A54" s="163"/>
      <c r="B54" s="164"/>
      <c r="C54" s="164"/>
      <c r="D54" s="164"/>
      <c r="E54" s="164"/>
      <c r="F54" s="164"/>
      <c r="G54" s="164"/>
      <c r="H54" s="164"/>
    </row>
    <row r="55" spans="1:8" ht="18" customHeight="1" x14ac:dyDescent="0.15">
      <c r="A55" s="163"/>
      <c r="B55" s="164"/>
      <c r="C55" s="164"/>
      <c r="D55" s="164"/>
      <c r="E55" s="164"/>
      <c r="F55" s="164"/>
      <c r="G55" s="164"/>
      <c r="H55" s="164"/>
    </row>
    <row r="56" spans="1:8" ht="18" customHeight="1" x14ac:dyDescent="0.15">
      <c r="A56" s="163"/>
      <c r="B56" s="164"/>
      <c r="C56" s="164"/>
      <c r="D56" s="164"/>
      <c r="E56" s="164"/>
      <c r="F56" s="164"/>
      <c r="G56" s="164"/>
      <c r="H56" s="164"/>
    </row>
    <row r="57" spans="1:8" ht="18" customHeight="1" x14ac:dyDescent="0.15">
      <c r="A57" s="163"/>
      <c r="B57" s="164"/>
      <c r="C57" s="164"/>
      <c r="D57" s="164"/>
      <c r="E57" s="164"/>
      <c r="F57" s="164"/>
      <c r="G57" s="164"/>
      <c r="H57" s="164"/>
    </row>
    <row r="58" spans="1:8" ht="18" customHeight="1" x14ac:dyDescent="0.15">
      <c r="A58" s="163"/>
      <c r="B58" s="164"/>
      <c r="C58" s="164"/>
      <c r="D58" s="164"/>
      <c r="E58" s="164"/>
      <c r="F58" s="164"/>
      <c r="G58" s="164"/>
      <c r="H58" s="164"/>
    </row>
    <row r="59" spans="1:8" ht="18" customHeight="1" x14ac:dyDescent="0.15">
      <c r="A59" s="163"/>
      <c r="B59" s="164"/>
      <c r="C59" s="164"/>
      <c r="D59" s="164"/>
      <c r="E59" s="164"/>
      <c r="F59" s="164"/>
      <c r="G59" s="164"/>
      <c r="H59" s="164"/>
    </row>
    <row r="60" spans="1:8" ht="18" customHeight="1" x14ac:dyDescent="0.15">
      <c r="A60" s="163"/>
      <c r="B60" s="164"/>
      <c r="C60" s="164"/>
      <c r="D60" s="164"/>
      <c r="E60" s="164"/>
      <c r="F60" s="164"/>
      <c r="G60" s="164"/>
      <c r="H60" s="164"/>
    </row>
    <row r="61" spans="1:8" ht="18" customHeight="1" x14ac:dyDescent="0.15">
      <c r="A61" s="163"/>
      <c r="B61" s="164"/>
      <c r="C61" s="164"/>
      <c r="D61" s="164"/>
      <c r="E61" s="164"/>
      <c r="F61" s="164"/>
      <c r="G61" s="164"/>
      <c r="H61" s="164"/>
    </row>
    <row r="62" spans="1:8" ht="18" customHeight="1" x14ac:dyDescent="0.15">
      <c r="A62" s="163"/>
      <c r="B62" s="164"/>
      <c r="C62" s="164"/>
      <c r="D62" s="164"/>
      <c r="E62" s="164"/>
      <c r="F62" s="164"/>
      <c r="G62" s="164"/>
      <c r="H62" s="164"/>
    </row>
    <row r="63" spans="1:8" ht="18" customHeight="1" x14ac:dyDescent="0.15">
      <c r="A63" s="163"/>
      <c r="B63" s="164"/>
      <c r="C63" s="164"/>
      <c r="D63" s="164"/>
      <c r="E63" s="164"/>
      <c r="F63" s="164"/>
      <c r="G63" s="164"/>
      <c r="H63" s="164"/>
    </row>
    <row r="64" spans="1:8" ht="18" customHeight="1" x14ac:dyDescent="0.15">
      <c r="A64" s="163"/>
      <c r="B64" s="164"/>
      <c r="C64" s="164"/>
      <c r="D64" s="164"/>
      <c r="E64" s="164"/>
      <c r="F64" s="164"/>
      <c r="G64" s="164"/>
      <c r="H64" s="164"/>
    </row>
    <row r="65" spans="1:8" ht="18" customHeight="1" x14ac:dyDescent="0.15">
      <c r="A65" s="163"/>
      <c r="B65" s="164"/>
      <c r="C65" s="164"/>
      <c r="D65" s="164"/>
      <c r="E65" s="164"/>
      <c r="F65" s="164"/>
      <c r="G65" s="164"/>
      <c r="H65" s="164"/>
    </row>
    <row r="66" spans="1:8" ht="18" customHeight="1" x14ac:dyDescent="0.15">
      <c r="A66" s="159" t="s">
        <v>7</v>
      </c>
      <c r="B66" s="164" t="str">
        <f>B27</f>
        <v>1. 2011년 추경예산(안) 1부.   끝.</v>
      </c>
      <c r="C66" s="164"/>
      <c r="D66" s="164"/>
      <c r="E66" s="164"/>
      <c r="F66" s="164"/>
      <c r="G66" s="164"/>
      <c r="H66" s="164"/>
    </row>
    <row r="67" spans="1:8" ht="18" customHeight="1" x14ac:dyDescent="0.15">
      <c r="A67" s="159"/>
      <c r="B67" s="164"/>
      <c r="C67" s="164"/>
      <c r="D67" s="164"/>
      <c r="E67" s="164"/>
      <c r="F67" s="164"/>
      <c r="G67" s="164"/>
      <c r="H67" s="164"/>
    </row>
    <row r="68" spans="1:8" ht="18" customHeight="1" x14ac:dyDescent="0.15">
      <c r="A68" s="159"/>
      <c r="B68" s="164"/>
      <c r="C68" s="164"/>
      <c r="D68" s="164"/>
      <c r="E68" s="164"/>
      <c r="F68" s="164"/>
      <c r="G68" s="164"/>
      <c r="H68" s="164"/>
    </row>
    <row r="69" spans="1:8" ht="18" customHeight="1" x14ac:dyDescent="0.15">
      <c r="A69" s="159"/>
    </row>
    <row r="70" spans="1:8" ht="18" customHeight="1" x14ac:dyDescent="0.15">
      <c r="A70" s="159"/>
    </row>
    <row r="71" spans="1:8" ht="18" customHeight="1" x14ac:dyDescent="0.15">
      <c r="A71" s="159"/>
    </row>
    <row r="72" spans="1:8" ht="18" customHeight="1" x14ac:dyDescent="0.15">
      <c r="A72" s="159"/>
    </row>
    <row r="73" spans="1:8" ht="3" customHeight="1" x14ac:dyDescent="0.15">
      <c r="A73" s="953"/>
      <c r="B73" s="953"/>
      <c r="C73" s="953"/>
      <c r="D73" s="953"/>
      <c r="E73" s="953"/>
      <c r="F73" s="953"/>
      <c r="G73" s="953"/>
      <c r="H73" s="165"/>
    </row>
    <row r="74" spans="1:8" ht="18" customHeight="1" x14ac:dyDescent="0.15">
      <c r="A74" s="166" t="s">
        <v>9</v>
      </c>
      <c r="B74" s="167" t="str">
        <f>B35</f>
        <v>김미자</v>
      </c>
      <c r="C74" s="166"/>
      <c r="D74" s="168" t="s">
        <v>3</v>
      </c>
      <c r="E74" s="167" t="s">
        <v>10</v>
      </c>
      <c r="F74" s="169" t="s">
        <v>11</v>
      </c>
      <c r="G74" s="169" t="s">
        <v>12</v>
      </c>
      <c r="H74" s="156"/>
    </row>
    <row r="75" spans="1:8" ht="18" customHeight="1" x14ac:dyDescent="0.15">
      <c r="A75" s="166" t="s">
        <v>13</v>
      </c>
      <c r="B75" s="167"/>
      <c r="C75" s="167"/>
      <c r="D75" s="167"/>
      <c r="E75" s="167"/>
      <c r="F75" s="167"/>
      <c r="G75" s="167"/>
      <c r="H75" s="156"/>
    </row>
    <row r="76" spans="1:8" ht="18" customHeight="1" x14ac:dyDescent="0.15">
      <c r="A76" s="166" t="s">
        <v>14</v>
      </c>
      <c r="B76" s="949" t="str">
        <f>B37</f>
        <v xml:space="preserve">예전원 제 10 - 73  </v>
      </c>
      <c r="C76" s="949"/>
      <c r="D76" s="949" t="str">
        <f>D37</f>
        <v>(2010. 12. 2.)</v>
      </c>
      <c r="E76" s="949"/>
      <c r="F76" s="949" t="s">
        <v>17</v>
      </c>
      <c r="G76" s="949"/>
      <c r="H76" s="954"/>
    </row>
    <row r="77" spans="1:8" ht="18" customHeight="1" x14ac:dyDescent="0.15">
      <c r="A77" s="170" t="s">
        <v>18</v>
      </c>
      <c r="B77" s="949" t="s">
        <v>19</v>
      </c>
      <c r="C77" s="955"/>
      <c r="D77" s="955"/>
      <c r="E77" s="955"/>
      <c r="F77" s="949" t="s">
        <v>20</v>
      </c>
      <c r="G77" s="955"/>
      <c r="H77" s="156"/>
    </row>
    <row r="78" spans="1:8" ht="18" customHeight="1" x14ac:dyDescent="0.15">
      <c r="A78" s="949" t="s">
        <v>21</v>
      </c>
      <c r="B78" s="949"/>
      <c r="C78" s="949" t="s">
        <v>22</v>
      </c>
      <c r="D78" s="949"/>
      <c r="E78" s="949" t="s">
        <v>23</v>
      </c>
      <c r="F78" s="949"/>
      <c r="G78" s="949"/>
      <c r="H78" s="950"/>
    </row>
  </sheetData>
  <mergeCells count="22">
    <mergeCell ref="A40:H40"/>
    <mergeCell ref="A1:H1"/>
    <mergeCell ref="B6:H6"/>
    <mergeCell ref="A34:G34"/>
    <mergeCell ref="B37:C37"/>
    <mergeCell ref="D37:E37"/>
    <mergeCell ref="F37:H37"/>
    <mergeCell ref="B38:E38"/>
    <mergeCell ref="F38:G38"/>
    <mergeCell ref="A39:B39"/>
    <mergeCell ref="C39:D39"/>
    <mergeCell ref="E39:H39"/>
    <mergeCell ref="A78:B78"/>
    <mergeCell ref="C78:D78"/>
    <mergeCell ref="E78:H78"/>
    <mergeCell ref="B45:H45"/>
    <mergeCell ref="A73:G73"/>
    <mergeCell ref="B76:C76"/>
    <mergeCell ref="D76:E76"/>
    <mergeCell ref="F76:H76"/>
    <mergeCell ref="B77:E77"/>
    <mergeCell ref="F77:G77"/>
  </mergeCells>
  <phoneticPr fontId="28" type="noConversion"/>
  <pageMargins left="0.65" right="0.37" top="1.090000000000000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view="pageBreakPreview" zoomScaleNormal="100" zoomScaleSheetLayoutView="100" workbookViewId="0">
      <selection activeCell="G21" sqref="G21"/>
    </sheetView>
  </sheetViews>
  <sheetFormatPr defaultRowHeight="14.25" x14ac:dyDescent="0.15"/>
  <cols>
    <col min="1" max="1" width="1.44140625" style="157" customWidth="1"/>
    <col min="2" max="2" width="12.109375" style="157" customWidth="1"/>
    <col min="3" max="3" width="3.77734375" style="157" customWidth="1"/>
    <col min="4" max="4" width="8.88671875" style="157"/>
    <col min="5" max="5" width="15.5546875" style="157" customWidth="1"/>
    <col min="6" max="6" width="17.5546875" style="157" customWidth="1"/>
    <col min="7" max="7" width="49.6640625" style="157" customWidth="1"/>
    <col min="8" max="8" width="23.21875" style="157" customWidth="1"/>
    <col min="9" max="9" width="9.21875" style="157" customWidth="1"/>
    <col min="10" max="10" width="22" style="157" bestFit="1" customWidth="1"/>
    <col min="11" max="16384" width="8.88671875" style="157"/>
  </cols>
  <sheetData>
    <row r="1" spans="1:8" s="155" customFormat="1" ht="54.95" customHeight="1" x14ac:dyDescent="0.15">
      <c r="A1" s="959" t="s">
        <v>280</v>
      </c>
      <c r="B1" s="959"/>
      <c r="C1" s="959"/>
      <c r="D1" s="959"/>
      <c r="E1" s="959"/>
      <c r="F1" s="959"/>
      <c r="G1" s="959"/>
      <c r="H1" s="180"/>
    </row>
    <row r="2" spans="1:8" s="156" customFormat="1" ht="54.75" customHeight="1" x14ac:dyDescent="0.15">
      <c r="A2" s="183"/>
      <c r="B2" s="184"/>
      <c r="C2" s="184"/>
      <c r="D2" s="184"/>
      <c r="E2" s="184"/>
      <c r="F2" s="184"/>
      <c r="G2" s="184"/>
    </row>
    <row r="3" spans="1:8" ht="18" customHeight="1" x14ac:dyDescent="0.15">
      <c r="A3" s="185"/>
      <c r="B3" s="201"/>
      <c r="C3" s="202" t="s">
        <v>281</v>
      </c>
      <c r="D3" s="201"/>
      <c r="E3" s="201"/>
      <c r="F3" s="201"/>
      <c r="G3" s="201"/>
    </row>
    <row r="4" spans="1:8" ht="18" customHeight="1" x14ac:dyDescent="0.15">
      <c r="A4" s="185"/>
      <c r="B4" s="201"/>
      <c r="C4" s="201"/>
      <c r="D4" s="201"/>
      <c r="E4" s="201"/>
      <c r="F4" s="201"/>
      <c r="G4" s="201"/>
    </row>
    <row r="5" spans="1:8" ht="18" customHeight="1" x14ac:dyDescent="0.15">
      <c r="A5" s="185"/>
      <c r="B5" s="201" t="s">
        <v>24</v>
      </c>
      <c r="C5" s="202" t="s">
        <v>282</v>
      </c>
      <c r="D5" s="201"/>
      <c r="E5" s="201"/>
      <c r="F5" s="201"/>
      <c r="G5" s="201"/>
    </row>
    <row r="6" spans="1:8" ht="9" customHeight="1" x14ac:dyDescent="0.15">
      <c r="A6" s="185"/>
      <c r="B6" s="201"/>
      <c r="C6" s="202"/>
      <c r="D6" s="201"/>
      <c r="E6" s="201"/>
      <c r="F6" s="201"/>
      <c r="G6" s="201"/>
    </row>
    <row r="7" spans="1:8" ht="18" customHeight="1" x14ac:dyDescent="0.15">
      <c r="A7" s="186"/>
      <c r="B7" s="201"/>
      <c r="C7" s="203" t="s">
        <v>211</v>
      </c>
      <c r="D7" s="201"/>
      <c r="E7" s="201"/>
      <c r="F7" s="207" t="s">
        <v>436</v>
      </c>
      <c r="G7" s="208" t="s">
        <v>437</v>
      </c>
    </row>
    <row r="8" spans="1:8" ht="18" customHeight="1" x14ac:dyDescent="0.15">
      <c r="A8" s="185"/>
      <c r="B8" s="201"/>
      <c r="C8" s="201"/>
      <c r="D8" s="201"/>
      <c r="E8" s="201"/>
      <c r="F8" s="201"/>
      <c r="G8" s="204"/>
    </row>
    <row r="9" spans="1:8" ht="18" customHeight="1" x14ac:dyDescent="0.15">
      <c r="A9" s="185"/>
      <c r="B9" s="202" t="s">
        <v>25</v>
      </c>
      <c r="C9" s="201" t="s">
        <v>212</v>
      </c>
      <c r="D9" s="201"/>
      <c r="E9" s="201"/>
      <c r="F9" s="201"/>
      <c r="G9" s="201"/>
    </row>
    <row r="10" spans="1:8" ht="18" customHeight="1" x14ac:dyDescent="0.15">
      <c r="A10" s="185"/>
      <c r="B10" s="201"/>
      <c r="C10" s="201"/>
      <c r="D10" s="201"/>
      <c r="E10" s="201"/>
      <c r="F10" s="201"/>
      <c r="G10" s="201"/>
    </row>
    <row r="11" spans="1:8" ht="18" customHeight="1" x14ac:dyDescent="0.15">
      <c r="A11" s="185"/>
      <c r="B11" s="202" t="s">
        <v>26</v>
      </c>
      <c r="C11" s="201" t="s">
        <v>27</v>
      </c>
      <c r="D11" s="201"/>
      <c r="E11" s="201"/>
      <c r="F11" s="201"/>
      <c r="G11" s="201"/>
    </row>
    <row r="12" spans="1:8" ht="18" customHeight="1" x14ac:dyDescent="0.15">
      <c r="A12" s="185"/>
      <c r="B12" s="201"/>
      <c r="C12" s="201"/>
      <c r="D12" s="201"/>
      <c r="E12" s="201"/>
      <c r="F12" s="201"/>
      <c r="G12" s="201"/>
    </row>
    <row r="13" spans="1:8" ht="43.5" customHeight="1" x14ac:dyDescent="0.15">
      <c r="A13" s="185"/>
      <c r="B13" s="205" t="s">
        <v>215</v>
      </c>
      <c r="C13" s="957" t="s">
        <v>140</v>
      </c>
      <c r="D13" s="958"/>
      <c r="E13" s="958"/>
      <c r="F13" s="958"/>
      <c r="G13" s="958"/>
    </row>
    <row r="14" spans="1:8" ht="18" customHeight="1" x14ac:dyDescent="0.15">
      <c r="A14" s="185"/>
      <c r="B14" s="185"/>
      <c r="C14" s="185"/>
      <c r="D14" s="185"/>
      <c r="E14" s="185"/>
      <c r="F14" s="185"/>
      <c r="G14" s="185"/>
    </row>
    <row r="15" spans="1:8" ht="18" customHeight="1" x14ac:dyDescent="0.15">
      <c r="A15" s="185"/>
      <c r="B15" s="185"/>
      <c r="C15" s="185"/>
      <c r="D15" s="185"/>
      <c r="E15" s="185"/>
      <c r="F15" s="185"/>
      <c r="G15" s="185"/>
    </row>
  </sheetData>
  <mergeCells count="2">
    <mergeCell ref="C13:G13"/>
    <mergeCell ref="A1:G1"/>
  </mergeCells>
  <phoneticPr fontId="28" type="noConversion"/>
  <printOptions horizontalCentered="1"/>
  <pageMargins left="0.78740157480314965" right="0.78740157480314965" top="1.1811023622047245" bottom="0.59055118110236227" header="0" footer="0"/>
  <pageSetup paperSize="9" firstPageNumber="27" fitToHeight="0" orientation="landscape" useFirstPageNumber="1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8"/>
  <sheetViews>
    <sheetView topLeftCell="A2" zoomScaleNormal="100" zoomScaleSheetLayoutView="100" workbookViewId="0">
      <selection activeCell="O11" sqref="O11"/>
    </sheetView>
  </sheetViews>
  <sheetFormatPr defaultRowHeight="18" customHeight="1" x14ac:dyDescent="0.15"/>
  <cols>
    <col min="1" max="2" width="3.77734375" style="134" customWidth="1"/>
    <col min="3" max="3" width="18.77734375" style="134" customWidth="1"/>
    <col min="4" max="5" width="12.77734375" style="134" customWidth="1"/>
    <col min="6" max="6" width="10.77734375" style="134" customWidth="1"/>
    <col min="7" max="7" width="8.77734375" style="134" customWidth="1"/>
    <col min="8" max="9" width="3.77734375" style="134" customWidth="1"/>
    <col min="10" max="10" width="18.77734375" style="134" customWidth="1"/>
    <col min="11" max="12" width="12.77734375" style="134" customWidth="1"/>
    <col min="13" max="13" width="10.77734375" style="134" customWidth="1"/>
    <col min="14" max="14" width="8.77734375" style="134" customWidth="1"/>
    <col min="15" max="16384" width="8.88671875" style="150"/>
  </cols>
  <sheetData>
    <row r="1" spans="1:20" s="148" customFormat="1" ht="54.95" customHeight="1" x14ac:dyDescent="0.15">
      <c r="A1" s="960" t="s">
        <v>279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</row>
    <row r="2" spans="1:20" ht="20.100000000000001" customHeight="1" thickBot="1" x14ac:dyDescent="0.2">
      <c r="A2" s="188" t="s">
        <v>28</v>
      </c>
      <c r="B2" s="151"/>
      <c r="C2" s="152"/>
      <c r="D2" s="152"/>
      <c r="E2" s="152"/>
      <c r="F2" s="153"/>
      <c r="G2" s="152"/>
      <c r="H2" s="152"/>
      <c r="I2" s="152"/>
      <c r="J2" s="152"/>
      <c r="K2" s="152"/>
      <c r="L2" s="152"/>
      <c r="M2" s="962" t="s">
        <v>130</v>
      </c>
      <c r="N2" s="963"/>
    </row>
    <row r="3" spans="1:20" s="149" customFormat="1" ht="20.100000000000001" customHeight="1" thickBot="1" x14ac:dyDescent="0.2">
      <c r="A3" s="964" t="s">
        <v>141</v>
      </c>
      <c r="B3" s="965"/>
      <c r="C3" s="965"/>
      <c r="D3" s="965"/>
      <c r="E3" s="965"/>
      <c r="F3" s="965"/>
      <c r="G3" s="966"/>
      <c r="H3" s="967" t="s">
        <v>142</v>
      </c>
      <c r="I3" s="968"/>
      <c r="J3" s="968"/>
      <c r="K3" s="968"/>
      <c r="L3" s="968"/>
      <c r="M3" s="968"/>
      <c r="N3" s="969"/>
    </row>
    <row r="4" spans="1:20" ht="20.100000000000001" customHeight="1" x14ac:dyDescent="0.15">
      <c r="A4" s="973" t="s">
        <v>29</v>
      </c>
      <c r="B4" s="970" t="s">
        <v>30</v>
      </c>
      <c r="C4" s="970" t="s">
        <v>31</v>
      </c>
      <c r="D4" s="975" t="s">
        <v>277</v>
      </c>
      <c r="E4" s="975" t="s">
        <v>278</v>
      </c>
      <c r="F4" s="970" t="s">
        <v>32</v>
      </c>
      <c r="G4" s="971"/>
      <c r="H4" s="973" t="s">
        <v>29</v>
      </c>
      <c r="I4" s="970" t="s">
        <v>30</v>
      </c>
      <c r="J4" s="970" t="s">
        <v>31</v>
      </c>
      <c r="K4" s="975" t="s">
        <v>277</v>
      </c>
      <c r="L4" s="975" t="s">
        <v>278</v>
      </c>
      <c r="M4" s="970" t="s">
        <v>32</v>
      </c>
      <c r="N4" s="971"/>
    </row>
    <row r="5" spans="1:20" ht="20.100000000000001" customHeight="1" thickBot="1" x14ac:dyDescent="0.2">
      <c r="A5" s="974"/>
      <c r="B5" s="972"/>
      <c r="C5" s="972"/>
      <c r="D5" s="976"/>
      <c r="E5" s="976"/>
      <c r="F5" s="470" t="s">
        <v>33</v>
      </c>
      <c r="G5" s="423" t="s">
        <v>34</v>
      </c>
      <c r="H5" s="974"/>
      <c r="I5" s="972"/>
      <c r="J5" s="972"/>
      <c r="K5" s="976"/>
      <c r="L5" s="976"/>
      <c r="M5" s="470" t="s">
        <v>33</v>
      </c>
      <c r="N5" s="423" t="s">
        <v>34</v>
      </c>
    </row>
    <row r="6" spans="1:20" ht="20.100000000000001" customHeight="1" x14ac:dyDescent="0.15">
      <c r="A6" s="991" t="str">
        <f>세입!A4</f>
        <v>계</v>
      </c>
      <c r="B6" s="992"/>
      <c r="C6" s="992"/>
      <c r="D6" s="424">
        <f>D10+D14+D18+D22+D26+D7</f>
        <v>762300000</v>
      </c>
      <c r="E6" s="944">
        <f>E10+E14+E18+E22+E26+E7</f>
        <v>786099999.59128106</v>
      </c>
      <c r="F6" s="945">
        <f>E6-D6</f>
        <v>23799999.591281056</v>
      </c>
      <c r="G6" s="946">
        <f t="shared" ref="G6:G27" si="0">F6/D6*100</f>
        <v>3.1221303412411197</v>
      </c>
      <c r="H6" s="993" t="str">
        <f>세출!A4</f>
        <v>계</v>
      </c>
      <c r="I6" s="994"/>
      <c r="J6" s="994"/>
      <c r="K6" s="424">
        <f>K7+K24+K28+K52+K55</f>
        <v>762300000</v>
      </c>
      <c r="L6" s="944">
        <f>L7+L24+L28+L52+L55</f>
        <v>786100000</v>
      </c>
      <c r="M6" s="944">
        <f>L6-K6</f>
        <v>23800000</v>
      </c>
      <c r="N6" s="947">
        <f>M6/K6*100</f>
        <v>3.1221303948576673</v>
      </c>
    </row>
    <row r="7" spans="1:20" ht="20.100000000000001" customHeight="1" x14ac:dyDescent="0.15">
      <c r="A7" s="981" t="s">
        <v>216</v>
      </c>
      <c r="B7" s="982"/>
      <c r="C7" s="983"/>
      <c r="D7" s="498">
        <f>D8</f>
        <v>1800000</v>
      </c>
      <c r="E7" s="932">
        <f>E8</f>
        <v>3000000</v>
      </c>
      <c r="F7" s="933">
        <f t="shared" ref="F7:F9" si="1">E7-D7</f>
        <v>1200000</v>
      </c>
      <c r="G7" s="934">
        <v>0</v>
      </c>
      <c r="H7" s="979" t="s">
        <v>161</v>
      </c>
      <c r="I7" s="980"/>
      <c r="J7" s="978"/>
      <c r="K7" s="428">
        <f>K8+K15+K17</f>
        <v>612034340</v>
      </c>
      <c r="L7" s="428">
        <f>L8+L15+L17</f>
        <v>612034340</v>
      </c>
      <c r="M7" s="428">
        <f>L7-K7</f>
        <v>0</v>
      </c>
      <c r="N7" s="429">
        <f>M7/K7*100</f>
        <v>0</v>
      </c>
    </row>
    <row r="8" spans="1:20" ht="20.100000000000001" customHeight="1" x14ac:dyDescent="0.15">
      <c r="A8" s="928"/>
      <c r="B8" s="982" t="s">
        <v>216</v>
      </c>
      <c r="C8" s="983"/>
      <c r="D8" s="498">
        <f>D9</f>
        <v>1800000</v>
      </c>
      <c r="E8" s="932">
        <f>E9</f>
        <v>3000000</v>
      </c>
      <c r="F8" s="933">
        <f t="shared" si="1"/>
        <v>1200000</v>
      </c>
      <c r="G8" s="934">
        <v>0</v>
      </c>
      <c r="H8" s="431"/>
      <c r="I8" s="977" t="s">
        <v>162</v>
      </c>
      <c r="J8" s="978"/>
      <c r="K8" s="428">
        <f>SUM(K9:K14)</f>
        <v>586456040</v>
      </c>
      <c r="L8" s="428">
        <f>SUM(L9:L14)</f>
        <v>586456040</v>
      </c>
      <c r="M8" s="428">
        <f t="shared" ref="M8:M15" si="2">L8-K8</f>
        <v>0</v>
      </c>
      <c r="N8" s="429">
        <f t="shared" ref="N8:N15" si="3">M8/K8*100</f>
        <v>0</v>
      </c>
    </row>
    <row r="9" spans="1:20" ht="20.100000000000001" customHeight="1" x14ac:dyDescent="0.15">
      <c r="A9" s="929"/>
      <c r="B9" s="930"/>
      <c r="C9" s="931" t="s">
        <v>216</v>
      </c>
      <c r="D9" s="498">
        <f>세입!D7</f>
        <v>1800000</v>
      </c>
      <c r="E9" s="932">
        <f>세입!E7</f>
        <v>3000000</v>
      </c>
      <c r="F9" s="933">
        <f t="shared" si="1"/>
        <v>1200000</v>
      </c>
      <c r="G9" s="934">
        <v>0</v>
      </c>
      <c r="H9" s="433"/>
      <c r="I9" s="421"/>
      <c r="J9" s="413" t="s">
        <v>42</v>
      </c>
      <c r="K9" s="428">
        <f>세출!D7</f>
        <v>372545110</v>
      </c>
      <c r="L9" s="428">
        <v>372545110</v>
      </c>
      <c r="M9" s="428">
        <f t="shared" si="2"/>
        <v>0</v>
      </c>
      <c r="N9" s="429">
        <f t="shared" si="3"/>
        <v>0</v>
      </c>
      <c r="R9" s="154"/>
    </row>
    <row r="10" spans="1:20" ht="20.100000000000001" customHeight="1" x14ac:dyDescent="0.15">
      <c r="A10" s="979" t="s">
        <v>143</v>
      </c>
      <c r="B10" s="980"/>
      <c r="C10" s="978"/>
      <c r="D10" s="425">
        <f>D11</f>
        <v>728281890</v>
      </c>
      <c r="E10" s="425">
        <f>E11</f>
        <v>728281889.59128106</v>
      </c>
      <c r="F10" s="426">
        <f t="shared" ref="F10:F30" si="4">E10-D10</f>
        <v>-0.40871894359588623</v>
      </c>
      <c r="G10" s="427">
        <f t="shared" si="0"/>
        <v>-5.6120981340876982E-8</v>
      </c>
      <c r="H10" s="433"/>
      <c r="I10" s="321"/>
      <c r="J10" s="413" t="s">
        <v>35</v>
      </c>
      <c r="K10" s="428">
        <v>123343540</v>
      </c>
      <c r="L10" s="428">
        <v>123343540</v>
      </c>
      <c r="M10" s="428">
        <f t="shared" si="2"/>
        <v>0</v>
      </c>
      <c r="N10" s="429">
        <f t="shared" si="3"/>
        <v>0</v>
      </c>
    </row>
    <row r="11" spans="1:20" ht="20.100000000000001" customHeight="1" x14ac:dyDescent="0.15">
      <c r="A11" s="430"/>
      <c r="B11" s="977" t="s">
        <v>143</v>
      </c>
      <c r="C11" s="978"/>
      <c r="D11" s="425">
        <f>SUM(D12:D13)</f>
        <v>728281890</v>
      </c>
      <c r="E11" s="425">
        <f>SUM(E12:E13)</f>
        <v>728281889.59128106</v>
      </c>
      <c r="F11" s="426">
        <f t="shared" si="4"/>
        <v>-0.40871894359588623</v>
      </c>
      <c r="G11" s="427">
        <f t="shared" si="0"/>
        <v>-5.6120981340876982E-8</v>
      </c>
      <c r="H11" s="433"/>
      <c r="I11" s="321"/>
      <c r="J11" s="413" t="s">
        <v>163</v>
      </c>
      <c r="K11" s="428">
        <v>300000</v>
      </c>
      <c r="L11" s="428">
        <v>300000</v>
      </c>
      <c r="M11" s="428">
        <f t="shared" si="2"/>
        <v>0</v>
      </c>
      <c r="N11" s="429">
        <f t="shared" si="3"/>
        <v>0</v>
      </c>
    </row>
    <row r="12" spans="1:20" ht="20.100000000000001" customHeight="1" x14ac:dyDescent="0.15">
      <c r="A12" s="432"/>
      <c r="B12" s="421"/>
      <c r="C12" s="413" t="s">
        <v>153</v>
      </c>
      <c r="D12" s="425">
        <f>세입!D11</f>
        <v>72521700</v>
      </c>
      <c r="E12" s="425">
        <f>세입!E11</f>
        <v>72521700</v>
      </c>
      <c r="F12" s="426">
        <f t="shared" si="4"/>
        <v>0</v>
      </c>
      <c r="G12" s="427">
        <f t="shared" si="0"/>
        <v>0</v>
      </c>
      <c r="H12" s="433"/>
      <c r="I12" s="321"/>
      <c r="J12" s="413" t="s">
        <v>164</v>
      </c>
      <c r="K12" s="428">
        <v>41324060</v>
      </c>
      <c r="L12" s="428">
        <v>41324060</v>
      </c>
      <c r="M12" s="428">
        <f t="shared" si="2"/>
        <v>0</v>
      </c>
      <c r="N12" s="429">
        <f t="shared" si="3"/>
        <v>0</v>
      </c>
    </row>
    <row r="13" spans="1:20" ht="20.100000000000001" customHeight="1" x14ac:dyDescent="0.15">
      <c r="A13" s="434"/>
      <c r="B13" s="319"/>
      <c r="C13" s="413" t="s">
        <v>154</v>
      </c>
      <c r="D13" s="425">
        <f>세입!D18</f>
        <v>655760190</v>
      </c>
      <c r="E13" s="425">
        <f>세입!E18</f>
        <v>655760189.59128106</v>
      </c>
      <c r="F13" s="426">
        <f t="shared" si="4"/>
        <v>-0.40871894359588623</v>
      </c>
      <c r="G13" s="427">
        <f t="shared" si="0"/>
        <v>-6.2327501703921096E-8</v>
      </c>
      <c r="H13" s="433"/>
      <c r="I13" s="321"/>
      <c r="J13" s="413" t="s">
        <v>165</v>
      </c>
      <c r="K13" s="428">
        <v>48373330</v>
      </c>
      <c r="L13" s="428">
        <v>48373330</v>
      </c>
      <c r="M13" s="428">
        <f t="shared" si="2"/>
        <v>0</v>
      </c>
      <c r="N13" s="429">
        <f t="shared" si="3"/>
        <v>0</v>
      </c>
      <c r="P13" s="154"/>
    </row>
    <row r="14" spans="1:20" ht="20.100000000000001" customHeight="1" x14ac:dyDescent="0.15">
      <c r="A14" s="984" t="s">
        <v>146</v>
      </c>
      <c r="B14" s="985"/>
      <c r="C14" s="986"/>
      <c r="D14" s="425">
        <f>D15</f>
        <v>7200000</v>
      </c>
      <c r="E14" s="897">
        <f>E15</f>
        <v>28446850</v>
      </c>
      <c r="F14" s="935">
        <f t="shared" si="4"/>
        <v>21246850</v>
      </c>
      <c r="G14" s="936">
        <f t="shared" si="0"/>
        <v>295.09513888888887</v>
      </c>
      <c r="H14" s="433"/>
      <c r="I14" s="319"/>
      <c r="J14" s="421" t="s">
        <v>166</v>
      </c>
      <c r="K14" s="428">
        <v>570000</v>
      </c>
      <c r="L14" s="428">
        <v>570000</v>
      </c>
      <c r="M14" s="428">
        <f t="shared" si="2"/>
        <v>0</v>
      </c>
      <c r="N14" s="429">
        <f t="shared" si="3"/>
        <v>0</v>
      </c>
      <c r="P14" s="154"/>
      <c r="T14" s="154"/>
    </row>
    <row r="15" spans="1:20" ht="20.100000000000001" customHeight="1" x14ac:dyDescent="0.15">
      <c r="A15" s="918"/>
      <c r="B15" s="990" t="s">
        <v>146</v>
      </c>
      <c r="C15" s="986"/>
      <c r="D15" s="425">
        <f>SUM(D16:D17)</f>
        <v>7200000</v>
      </c>
      <c r="E15" s="897">
        <f>SUM(E16:E17)</f>
        <v>28446850</v>
      </c>
      <c r="F15" s="935">
        <f t="shared" si="4"/>
        <v>21246850</v>
      </c>
      <c r="G15" s="936">
        <f t="shared" si="0"/>
        <v>295.09513888888887</v>
      </c>
      <c r="H15" s="433"/>
      <c r="I15" s="977" t="s">
        <v>167</v>
      </c>
      <c r="J15" s="978"/>
      <c r="K15" s="425">
        <f>K16</f>
        <v>500000</v>
      </c>
      <c r="L15" s="425">
        <f>L16</f>
        <v>500000</v>
      </c>
      <c r="M15" s="428">
        <f t="shared" si="2"/>
        <v>0</v>
      </c>
      <c r="N15" s="429">
        <f t="shared" si="3"/>
        <v>0</v>
      </c>
    </row>
    <row r="16" spans="1:20" ht="20.100000000000001" customHeight="1" x14ac:dyDescent="0.15">
      <c r="A16" s="896"/>
      <c r="B16" s="937"/>
      <c r="C16" s="913" t="s">
        <v>155</v>
      </c>
      <c r="D16" s="425">
        <f>세입!D115</f>
        <v>1200000</v>
      </c>
      <c r="E16" s="897">
        <f>세입!E115</f>
        <v>18446850</v>
      </c>
      <c r="F16" s="935">
        <f t="shared" si="4"/>
        <v>17246850</v>
      </c>
      <c r="G16" s="936">
        <f t="shared" si="0"/>
        <v>1437.2375</v>
      </c>
      <c r="H16" s="433"/>
      <c r="I16" s="319"/>
      <c r="J16" s="435" t="s">
        <v>168</v>
      </c>
      <c r="K16" s="428">
        <v>500000</v>
      </c>
      <c r="L16" s="428">
        <v>500000</v>
      </c>
      <c r="M16" s="428">
        <f t="shared" ref="M16:M44" si="5">L16-K16</f>
        <v>0</v>
      </c>
      <c r="N16" s="429">
        <f t="shared" ref="N16:N43" si="6">M16/K16*100</f>
        <v>0</v>
      </c>
      <c r="P16" s="154"/>
      <c r="Q16" s="154"/>
    </row>
    <row r="17" spans="1:17" ht="20.100000000000001" customHeight="1" x14ac:dyDescent="0.15">
      <c r="A17" s="925"/>
      <c r="B17" s="912"/>
      <c r="C17" s="913" t="s">
        <v>156</v>
      </c>
      <c r="D17" s="425">
        <f>세입!D125</f>
        <v>6000000</v>
      </c>
      <c r="E17" s="897">
        <f>세입!E125</f>
        <v>10000000</v>
      </c>
      <c r="F17" s="935">
        <f t="shared" si="4"/>
        <v>4000000</v>
      </c>
      <c r="G17" s="936">
        <f t="shared" si="0"/>
        <v>66.666666666666657</v>
      </c>
      <c r="H17" s="433"/>
      <c r="I17" s="471" t="s">
        <v>49</v>
      </c>
      <c r="J17" s="472"/>
      <c r="K17" s="436">
        <f>SUM(K18:K23)</f>
        <v>25078300</v>
      </c>
      <c r="L17" s="436">
        <f>SUM(L18:L23)</f>
        <v>25078300</v>
      </c>
      <c r="M17" s="428">
        <f t="shared" si="5"/>
        <v>0</v>
      </c>
      <c r="N17" s="429">
        <f t="shared" si="6"/>
        <v>0</v>
      </c>
      <c r="P17" s="154"/>
      <c r="Q17" s="154"/>
    </row>
    <row r="18" spans="1:17" ht="20.100000000000001" customHeight="1" x14ac:dyDescent="0.15">
      <c r="A18" s="984" t="s">
        <v>157</v>
      </c>
      <c r="B18" s="985"/>
      <c r="C18" s="986"/>
      <c r="D18" s="425">
        <f>D19</f>
        <v>3600000</v>
      </c>
      <c r="E18" s="897">
        <f>E19</f>
        <v>4800000</v>
      </c>
      <c r="F18" s="935">
        <f t="shared" si="4"/>
        <v>1200000</v>
      </c>
      <c r="G18" s="936">
        <f t="shared" si="0"/>
        <v>33.333333333333329</v>
      </c>
      <c r="H18" s="433"/>
      <c r="I18" s="421"/>
      <c r="J18" s="413" t="s">
        <v>169</v>
      </c>
      <c r="K18" s="436">
        <v>400000</v>
      </c>
      <c r="L18" s="436">
        <v>400000</v>
      </c>
      <c r="M18" s="428">
        <f t="shared" si="5"/>
        <v>0</v>
      </c>
      <c r="N18" s="429">
        <f t="shared" si="6"/>
        <v>0</v>
      </c>
      <c r="Q18" s="154"/>
    </row>
    <row r="19" spans="1:17" ht="20.100000000000001" customHeight="1" x14ac:dyDescent="0.15">
      <c r="A19" s="918"/>
      <c r="B19" s="990" t="s">
        <v>157</v>
      </c>
      <c r="C19" s="986"/>
      <c r="D19" s="425">
        <f>D20+D21</f>
        <v>3600000</v>
      </c>
      <c r="E19" s="897">
        <f>E20+E21</f>
        <v>4800000</v>
      </c>
      <c r="F19" s="935">
        <f t="shared" si="4"/>
        <v>1200000</v>
      </c>
      <c r="G19" s="936">
        <f t="shared" si="0"/>
        <v>33.333333333333329</v>
      </c>
      <c r="H19" s="433"/>
      <c r="I19" s="321"/>
      <c r="J19" s="413" t="s">
        <v>170</v>
      </c>
      <c r="K19" s="425">
        <v>4526400</v>
      </c>
      <c r="L19" s="425">
        <v>4526400</v>
      </c>
      <c r="M19" s="428">
        <f t="shared" si="5"/>
        <v>0</v>
      </c>
      <c r="N19" s="429">
        <f t="shared" si="6"/>
        <v>0</v>
      </c>
      <c r="P19" s="154"/>
    </row>
    <row r="20" spans="1:17" ht="20.100000000000001" customHeight="1" x14ac:dyDescent="0.15">
      <c r="A20" s="896"/>
      <c r="B20" s="938"/>
      <c r="C20" s="895" t="s">
        <v>202</v>
      </c>
      <c r="D20" s="425">
        <f>세입!D129</f>
        <v>1200000</v>
      </c>
      <c r="E20" s="897">
        <f>세입!E129</f>
        <v>0</v>
      </c>
      <c r="F20" s="935">
        <f t="shared" si="4"/>
        <v>-1200000</v>
      </c>
      <c r="G20" s="936">
        <f t="shared" si="0"/>
        <v>-100</v>
      </c>
      <c r="H20" s="433"/>
      <c r="I20" s="321"/>
      <c r="J20" s="413" t="s">
        <v>171</v>
      </c>
      <c r="K20" s="437">
        <v>9920200</v>
      </c>
      <c r="L20" s="437">
        <v>9920200</v>
      </c>
      <c r="M20" s="428">
        <f t="shared" si="5"/>
        <v>0</v>
      </c>
      <c r="N20" s="429">
        <f t="shared" si="6"/>
        <v>0</v>
      </c>
      <c r="P20" s="154"/>
    </row>
    <row r="21" spans="1:17" ht="20.100000000000001" customHeight="1" x14ac:dyDescent="0.15">
      <c r="A21" s="925"/>
      <c r="B21" s="912"/>
      <c r="C21" s="908" t="s">
        <v>158</v>
      </c>
      <c r="D21" s="425">
        <f>세입!D131</f>
        <v>2400000</v>
      </c>
      <c r="E21" s="897">
        <f>세입!E131</f>
        <v>4800000</v>
      </c>
      <c r="F21" s="935">
        <f t="shared" si="4"/>
        <v>2400000</v>
      </c>
      <c r="G21" s="936">
        <f t="shared" si="0"/>
        <v>100</v>
      </c>
      <c r="H21" s="433"/>
      <c r="I21" s="321"/>
      <c r="J21" s="413" t="s">
        <v>172</v>
      </c>
      <c r="K21" s="425">
        <v>6405700</v>
      </c>
      <c r="L21" s="425">
        <v>6405700</v>
      </c>
      <c r="M21" s="428">
        <f t="shared" si="5"/>
        <v>0</v>
      </c>
      <c r="N21" s="429">
        <f t="shared" si="6"/>
        <v>0</v>
      </c>
    </row>
    <row r="22" spans="1:17" ht="20.100000000000001" customHeight="1" x14ac:dyDescent="0.15">
      <c r="A22" s="979" t="s">
        <v>147</v>
      </c>
      <c r="B22" s="980"/>
      <c r="C22" s="978"/>
      <c r="D22" s="425">
        <f>D23</f>
        <v>12677426</v>
      </c>
      <c r="E22" s="425">
        <f>E23</f>
        <v>12677426</v>
      </c>
      <c r="F22" s="426">
        <f t="shared" si="4"/>
        <v>0</v>
      </c>
      <c r="G22" s="427">
        <f t="shared" si="0"/>
        <v>0</v>
      </c>
      <c r="H22" s="433"/>
      <c r="I22" s="321"/>
      <c r="J22" s="413" t="s">
        <v>173</v>
      </c>
      <c r="K22" s="439">
        <v>1880000</v>
      </c>
      <c r="L22" s="439">
        <v>1880000</v>
      </c>
      <c r="M22" s="428">
        <f t="shared" si="5"/>
        <v>0</v>
      </c>
      <c r="N22" s="429">
        <f t="shared" si="6"/>
        <v>0</v>
      </c>
      <c r="Q22" s="154"/>
    </row>
    <row r="23" spans="1:17" ht="20.100000000000001" customHeight="1" x14ac:dyDescent="0.15">
      <c r="A23" s="432"/>
      <c r="B23" s="998" t="s">
        <v>147</v>
      </c>
      <c r="C23" s="999"/>
      <c r="D23" s="439">
        <f>SUM(D24:D25)</f>
        <v>12677426</v>
      </c>
      <c r="E23" s="439">
        <f>SUM(E24:E25)</f>
        <v>12677426</v>
      </c>
      <c r="F23" s="442">
        <f t="shared" si="4"/>
        <v>0</v>
      </c>
      <c r="G23" s="427">
        <f t="shared" si="0"/>
        <v>0</v>
      </c>
      <c r="H23" s="433"/>
      <c r="I23" s="321"/>
      <c r="J23" s="474" t="s">
        <v>174</v>
      </c>
      <c r="K23" s="444">
        <v>1946000</v>
      </c>
      <c r="L23" s="444">
        <v>1946000</v>
      </c>
      <c r="M23" s="444">
        <f t="shared" si="5"/>
        <v>0</v>
      </c>
      <c r="N23" s="445">
        <f t="shared" si="6"/>
        <v>0</v>
      </c>
    </row>
    <row r="24" spans="1:17" ht="20.100000000000001" customHeight="1" x14ac:dyDescent="0.15">
      <c r="A24" s="432"/>
      <c r="B24" s="421"/>
      <c r="C24" s="438" t="s">
        <v>159</v>
      </c>
      <c r="D24" s="425">
        <f>세입!D136</f>
        <v>651852</v>
      </c>
      <c r="E24" s="425">
        <f>세입!E136</f>
        <v>651852</v>
      </c>
      <c r="F24" s="426">
        <f t="shared" si="4"/>
        <v>0</v>
      </c>
      <c r="G24" s="427">
        <f t="shared" si="0"/>
        <v>0</v>
      </c>
      <c r="H24" s="893" t="s">
        <v>175</v>
      </c>
      <c r="I24" s="894"/>
      <c r="J24" s="895"/>
      <c r="K24" s="428">
        <f>K25</f>
        <v>3660000</v>
      </c>
      <c r="L24" s="898">
        <f>L25</f>
        <v>11250000</v>
      </c>
      <c r="M24" s="898">
        <f t="shared" si="5"/>
        <v>7590000</v>
      </c>
      <c r="N24" s="899">
        <f t="shared" si="6"/>
        <v>207.37704918032787</v>
      </c>
    </row>
    <row r="25" spans="1:17" ht="20.100000000000001" customHeight="1" x14ac:dyDescent="0.15">
      <c r="A25" s="434"/>
      <c r="B25" s="319"/>
      <c r="C25" s="473" t="s">
        <v>150</v>
      </c>
      <c r="D25" s="425">
        <f>세입!D137</f>
        <v>12025574</v>
      </c>
      <c r="E25" s="425">
        <f>세입!E137</f>
        <v>12025574</v>
      </c>
      <c r="F25" s="426">
        <f t="shared" ref="F25" si="7">E25-D25</f>
        <v>0</v>
      </c>
      <c r="G25" s="427">
        <f t="shared" ref="G25" si="8">F25/D25*100</f>
        <v>0</v>
      </c>
      <c r="H25" s="918"/>
      <c r="I25" s="919" t="s">
        <v>176</v>
      </c>
      <c r="J25" s="895"/>
      <c r="K25" s="425">
        <f>SUM(K26:K27)</f>
        <v>3660000</v>
      </c>
      <c r="L25" s="897">
        <f>SUM(L26:L27)</f>
        <v>11250000</v>
      </c>
      <c r="M25" s="898">
        <f t="shared" si="5"/>
        <v>7590000</v>
      </c>
      <c r="N25" s="899">
        <f t="shared" si="6"/>
        <v>207.37704918032787</v>
      </c>
    </row>
    <row r="26" spans="1:17" ht="20.100000000000001" customHeight="1" thickBot="1" x14ac:dyDescent="0.2">
      <c r="A26" s="995" t="s">
        <v>148</v>
      </c>
      <c r="B26" s="996"/>
      <c r="C26" s="997"/>
      <c r="D26" s="833">
        <f>D27</f>
        <v>8740684</v>
      </c>
      <c r="E26" s="939">
        <f>E27</f>
        <v>8893834</v>
      </c>
      <c r="F26" s="940">
        <f t="shared" si="4"/>
        <v>153150</v>
      </c>
      <c r="G26" s="941">
        <f t="shared" si="0"/>
        <v>1.7521512046425658</v>
      </c>
      <c r="H26" s="920"/>
      <c r="I26" s="889"/>
      <c r="J26" s="921" t="s">
        <v>177</v>
      </c>
      <c r="K26" s="834">
        <v>1200000</v>
      </c>
      <c r="L26" s="922">
        <v>6150000</v>
      </c>
      <c r="M26" s="923">
        <f t="shared" si="5"/>
        <v>4950000</v>
      </c>
      <c r="N26" s="924">
        <f t="shared" si="6"/>
        <v>412.5</v>
      </c>
    </row>
    <row r="27" spans="1:17" ht="20.100000000000001" customHeight="1" x14ac:dyDescent="0.15">
      <c r="A27" s="896"/>
      <c r="B27" s="1000" t="s">
        <v>148</v>
      </c>
      <c r="C27" s="1001"/>
      <c r="D27" s="437">
        <f>SUM(D28:D30)</f>
        <v>8740684</v>
      </c>
      <c r="E27" s="942">
        <f>SUM(E28:E30)</f>
        <v>8893834</v>
      </c>
      <c r="F27" s="943">
        <f t="shared" si="4"/>
        <v>153150</v>
      </c>
      <c r="G27" s="936">
        <f t="shared" si="0"/>
        <v>1.7521512046425658</v>
      </c>
      <c r="H27" s="925"/>
      <c r="I27" s="912"/>
      <c r="J27" s="926" t="s">
        <v>178</v>
      </c>
      <c r="K27" s="443">
        <v>2460000</v>
      </c>
      <c r="L27" s="927">
        <f>세출!E112</f>
        <v>5100000</v>
      </c>
      <c r="M27" s="901">
        <f t="shared" si="5"/>
        <v>2640000</v>
      </c>
      <c r="N27" s="902">
        <f t="shared" si="6"/>
        <v>107.31707317073172</v>
      </c>
    </row>
    <row r="28" spans="1:17" ht="20.100000000000001" customHeight="1" x14ac:dyDescent="0.15">
      <c r="A28" s="896"/>
      <c r="B28" s="937"/>
      <c r="C28" s="908" t="s">
        <v>160</v>
      </c>
      <c r="D28" s="425">
        <f>세입!D140</f>
        <v>100000</v>
      </c>
      <c r="E28" s="897">
        <f>세입!E140</f>
        <v>253150</v>
      </c>
      <c r="F28" s="935">
        <f t="shared" si="4"/>
        <v>153150</v>
      </c>
      <c r="G28" s="936">
        <f>F28/D28*100</f>
        <v>153.15</v>
      </c>
      <c r="H28" s="914" t="s">
        <v>50</v>
      </c>
      <c r="I28" s="729"/>
      <c r="J28" s="915"/>
      <c r="K28" s="444">
        <f>K29+K34+K41+K50</f>
        <v>146406970</v>
      </c>
      <c r="L28" s="901">
        <f>L29+L34+L41+L50</f>
        <v>162358458</v>
      </c>
      <c r="M28" s="901">
        <f t="shared" si="5"/>
        <v>15951488</v>
      </c>
      <c r="N28" s="902">
        <f t="shared" si="6"/>
        <v>10.895306418813258</v>
      </c>
    </row>
    <row r="29" spans="1:17" ht="20.100000000000001" customHeight="1" x14ac:dyDescent="0.15">
      <c r="A29" s="432"/>
      <c r="B29" s="321"/>
      <c r="C29" s="441" t="s">
        <v>152</v>
      </c>
      <c r="D29" s="437">
        <f>세입!D142</f>
        <v>22884</v>
      </c>
      <c r="E29" s="437">
        <f>세입!E142</f>
        <v>22884</v>
      </c>
      <c r="F29" s="442">
        <f t="shared" ref="F29" si="9">E29-D29</f>
        <v>0</v>
      </c>
      <c r="G29" s="427">
        <f>F29/D29*100</f>
        <v>0</v>
      </c>
      <c r="H29" s="916"/>
      <c r="I29" s="917" t="s">
        <v>49</v>
      </c>
      <c r="J29" s="908"/>
      <c r="K29" s="444">
        <f>SUM(K30:K33)</f>
        <v>100949270</v>
      </c>
      <c r="L29" s="901">
        <f>SUM(L30:L33)</f>
        <v>105149270</v>
      </c>
      <c r="M29" s="898">
        <f t="shared" si="5"/>
        <v>4200000</v>
      </c>
      <c r="N29" s="899">
        <f t="shared" si="6"/>
        <v>4.1605055687871744</v>
      </c>
    </row>
    <row r="30" spans="1:17" ht="20.100000000000001" customHeight="1" thickBot="1" x14ac:dyDescent="0.2">
      <c r="A30" s="499"/>
      <c r="B30" s="322"/>
      <c r="C30" s="500" t="s">
        <v>149</v>
      </c>
      <c r="D30" s="462">
        <f>세입!D143</f>
        <v>8617800</v>
      </c>
      <c r="E30" s="462">
        <f>세입!E143</f>
        <v>8617800</v>
      </c>
      <c r="F30" s="501">
        <f t="shared" si="4"/>
        <v>0</v>
      </c>
      <c r="G30" s="502">
        <f t="shared" ref="G30" si="10">F30/D30*100</f>
        <v>0</v>
      </c>
      <c r="H30" s="433"/>
      <c r="I30" s="421"/>
      <c r="J30" s="413" t="s">
        <v>179</v>
      </c>
      <c r="K30" s="425">
        <v>72649270</v>
      </c>
      <c r="L30" s="425">
        <v>72649270</v>
      </c>
      <c r="M30" s="428">
        <f t="shared" si="5"/>
        <v>0</v>
      </c>
      <c r="N30" s="429">
        <f t="shared" si="6"/>
        <v>0</v>
      </c>
    </row>
    <row r="31" spans="1:17" ht="20.100000000000001" customHeight="1" x14ac:dyDescent="0.15">
      <c r="A31" s="446"/>
      <c r="B31" s="446"/>
      <c r="C31" s="446"/>
      <c r="D31" s="447"/>
      <c r="E31" s="447"/>
      <c r="F31" s="447"/>
      <c r="G31" s="448"/>
      <c r="H31" s="433"/>
      <c r="I31" s="321"/>
      <c r="J31" s="413" t="s">
        <v>180</v>
      </c>
      <c r="K31" s="425">
        <v>3600000</v>
      </c>
      <c r="L31" s="425">
        <v>3600000</v>
      </c>
      <c r="M31" s="428">
        <f t="shared" si="5"/>
        <v>0</v>
      </c>
      <c r="N31" s="429">
        <f t="shared" si="6"/>
        <v>0</v>
      </c>
    </row>
    <row r="32" spans="1:17" ht="20.100000000000001" customHeight="1" x14ac:dyDescent="0.15">
      <c r="A32" s="449"/>
      <c r="B32" s="450"/>
      <c r="C32" s="451"/>
      <c r="D32" s="452"/>
      <c r="E32" s="452"/>
      <c r="F32" s="452"/>
      <c r="G32" s="453"/>
      <c r="H32" s="432"/>
      <c r="I32" s="321"/>
      <c r="J32" s="912" t="s">
        <v>181</v>
      </c>
      <c r="K32" s="425">
        <v>16500000</v>
      </c>
      <c r="L32" s="897">
        <v>17700000</v>
      </c>
      <c r="M32" s="898">
        <f t="shared" si="5"/>
        <v>1200000</v>
      </c>
      <c r="N32" s="899">
        <f t="shared" si="6"/>
        <v>7.2727272727272725</v>
      </c>
    </row>
    <row r="33" spans="1:14" ht="20.100000000000001" customHeight="1" x14ac:dyDescent="0.15">
      <c r="A33" s="449"/>
      <c r="B33" s="449"/>
      <c r="C33" s="449"/>
      <c r="D33" s="452"/>
      <c r="E33" s="452"/>
      <c r="F33" s="452"/>
      <c r="G33" s="453"/>
      <c r="H33" s="433"/>
      <c r="I33" s="319"/>
      <c r="J33" s="913" t="s">
        <v>182</v>
      </c>
      <c r="K33" s="425">
        <v>8200000</v>
      </c>
      <c r="L33" s="897">
        <v>11200000</v>
      </c>
      <c r="M33" s="898">
        <f t="shared" si="5"/>
        <v>3000000</v>
      </c>
      <c r="N33" s="899">
        <f t="shared" si="6"/>
        <v>36.585365853658537</v>
      </c>
    </row>
    <row r="34" spans="1:14" ht="20.100000000000001" customHeight="1" x14ac:dyDescent="0.15">
      <c r="A34" s="449"/>
      <c r="B34" s="449"/>
      <c r="C34" s="452"/>
      <c r="D34" s="452"/>
      <c r="E34" s="449"/>
      <c r="F34" s="449"/>
      <c r="G34" s="454"/>
      <c r="H34" s="433"/>
      <c r="I34" s="909" t="s">
        <v>183</v>
      </c>
      <c r="J34" s="910"/>
      <c r="K34" s="439">
        <f>SUM(K35:K40)</f>
        <v>9448000</v>
      </c>
      <c r="L34" s="911">
        <f>SUM(L35:L40)</f>
        <v>9765710</v>
      </c>
      <c r="M34" s="901">
        <f t="shared" si="5"/>
        <v>317710</v>
      </c>
      <c r="N34" s="902">
        <f t="shared" si="6"/>
        <v>3.3627222692633358</v>
      </c>
    </row>
    <row r="35" spans="1:14" ht="20.100000000000001" customHeight="1" x14ac:dyDescent="0.15">
      <c r="A35" s="449"/>
      <c r="B35" s="449"/>
      <c r="C35" s="452"/>
      <c r="D35" s="452"/>
      <c r="E35" s="449"/>
      <c r="F35" s="449"/>
      <c r="G35" s="454"/>
      <c r="H35" s="433"/>
      <c r="I35" s="421"/>
      <c r="J35" s="455" t="s">
        <v>184</v>
      </c>
      <c r="K35" s="425">
        <v>100000</v>
      </c>
      <c r="L35" s="425">
        <v>100000</v>
      </c>
      <c r="M35" s="428">
        <f t="shared" si="5"/>
        <v>0</v>
      </c>
      <c r="N35" s="429">
        <f t="shared" si="6"/>
        <v>0</v>
      </c>
    </row>
    <row r="36" spans="1:14" ht="20.100000000000001" customHeight="1" x14ac:dyDescent="0.15">
      <c r="A36" s="449"/>
      <c r="B36" s="449"/>
      <c r="C36" s="452"/>
      <c r="D36" s="452"/>
      <c r="E36" s="449"/>
      <c r="F36" s="449"/>
      <c r="G36" s="454"/>
      <c r="H36" s="433"/>
      <c r="I36" s="321"/>
      <c r="J36" s="455" t="s">
        <v>185</v>
      </c>
      <c r="K36" s="425">
        <v>50000</v>
      </c>
      <c r="L36" s="425">
        <v>50000</v>
      </c>
      <c r="M36" s="428">
        <f t="shared" si="5"/>
        <v>0</v>
      </c>
      <c r="N36" s="429">
        <f t="shared" si="6"/>
        <v>0</v>
      </c>
    </row>
    <row r="37" spans="1:14" ht="20.100000000000001" customHeight="1" x14ac:dyDescent="0.15">
      <c r="A37" s="449"/>
      <c r="B37" s="449"/>
      <c r="C37" s="452"/>
      <c r="D37" s="452"/>
      <c r="E37" s="449"/>
      <c r="F37" s="449"/>
      <c r="G37" s="454"/>
      <c r="H37" s="433"/>
      <c r="I37" s="321"/>
      <c r="J37" s="455" t="s">
        <v>186</v>
      </c>
      <c r="K37" s="425">
        <v>3600000</v>
      </c>
      <c r="L37" s="425">
        <v>3600000</v>
      </c>
      <c r="M37" s="428">
        <f t="shared" si="5"/>
        <v>0</v>
      </c>
      <c r="N37" s="429">
        <f t="shared" si="6"/>
        <v>0</v>
      </c>
    </row>
    <row r="38" spans="1:14" ht="20.100000000000001" customHeight="1" x14ac:dyDescent="0.15">
      <c r="A38" s="449"/>
      <c r="B38" s="449"/>
      <c r="C38" s="452"/>
      <c r="D38" s="452"/>
      <c r="E38" s="449"/>
      <c r="F38" s="449"/>
      <c r="G38" s="454"/>
      <c r="H38" s="433"/>
      <c r="I38" s="321"/>
      <c r="J38" s="455" t="s">
        <v>187</v>
      </c>
      <c r="K38" s="425">
        <v>750000</v>
      </c>
      <c r="L38" s="425">
        <v>750000</v>
      </c>
      <c r="M38" s="428">
        <f t="shared" si="5"/>
        <v>0</v>
      </c>
      <c r="N38" s="429">
        <f t="shared" si="6"/>
        <v>0</v>
      </c>
    </row>
    <row r="39" spans="1:14" ht="20.100000000000001" customHeight="1" x14ac:dyDescent="0.15">
      <c r="A39" s="449"/>
      <c r="B39" s="449"/>
      <c r="C39" s="452"/>
      <c r="D39" s="452"/>
      <c r="E39" s="449"/>
      <c r="F39" s="449"/>
      <c r="G39" s="454"/>
      <c r="H39" s="433"/>
      <c r="I39" s="321"/>
      <c r="J39" s="455" t="s">
        <v>188</v>
      </c>
      <c r="K39" s="425">
        <v>600000</v>
      </c>
      <c r="L39" s="425">
        <v>600000</v>
      </c>
      <c r="M39" s="428">
        <f t="shared" si="5"/>
        <v>0</v>
      </c>
      <c r="N39" s="429">
        <f t="shared" si="6"/>
        <v>0</v>
      </c>
    </row>
    <row r="40" spans="1:14" ht="20.100000000000001" customHeight="1" x14ac:dyDescent="0.15">
      <c r="A40" s="449"/>
      <c r="B40" s="449"/>
      <c r="C40" s="449"/>
      <c r="D40" s="452"/>
      <c r="E40" s="449"/>
      <c r="F40" s="449"/>
      <c r="G40" s="454"/>
      <c r="H40" s="433"/>
      <c r="I40" s="456"/>
      <c r="J40" s="908" t="s">
        <v>189</v>
      </c>
      <c r="K40" s="425">
        <v>4348000</v>
      </c>
      <c r="L40" s="897">
        <v>4665710</v>
      </c>
      <c r="M40" s="898">
        <f t="shared" si="5"/>
        <v>317710</v>
      </c>
      <c r="N40" s="899">
        <f t="shared" si="6"/>
        <v>7.3070377184912605</v>
      </c>
    </row>
    <row r="41" spans="1:14" ht="20.100000000000001" customHeight="1" x14ac:dyDescent="0.15">
      <c r="A41" s="449"/>
      <c r="B41" s="449"/>
      <c r="C41" s="449"/>
      <c r="D41" s="452"/>
      <c r="E41" s="449"/>
      <c r="F41" s="449"/>
      <c r="G41" s="454"/>
      <c r="H41" s="433"/>
      <c r="I41" s="835" t="s">
        <v>190</v>
      </c>
      <c r="J41" s="904"/>
      <c r="K41" s="436">
        <f>SUM(K42:K49)</f>
        <v>35009700</v>
      </c>
      <c r="L41" s="905">
        <f>SUM(L42:L49)</f>
        <v>46443478</v>
      </c>
      <c r="M41" s="906">
        <f t="shared" si="5"/>
        <v>11433778</v>
      </c>
      <c r="N41" s="907">
        <f t="shared" si="6"/>
        <v>32.658885965889453</v>
      </c>
    </row>
    <row r="42" spans="1:14" ht="20.100000000000001" customHeight="1" x14ac:dyDescent="0.15">
      <c r="A42" s="449"/>
      <c r="B42" s="449"/>
      <c r="C42" s="449"/>
      <c r="D42" s="452"/>
      <c r="E42" s="449"/>
      <c r="F42" s="449"/>
      <c r="G42" s="454"/>
      <c r="H42" s="433"/>
      <c r="I42" s="421"/>
      <c r="J42" s="455" t="s">
        <v>191</v>
      </c>
      <c r="K42" s="425">
        <v>800000</v>
      </c>
      <c r="L42" s="425">
        <v>800000</v>
      </c>
      <c r="M42" s="428">
        <f t="shared" si="5"/>
        <v>0</v>
      </c>
      <c r="N42" s="429">
        <f t="shared" si="6"/>
        <v>0</v>
      </c>
    </row>
    <row r="43" spans="1:14" ht="20.100000000000001" customHeight="1" x14ac:dyDescent="0.15">
      <c r="A43" s="449"/>
      <c r="B43" s="449"/>
      <c r="C43" s="449"/>
      <c r="D43" s="452"/>
      <c r="E43" s="449"/>
      <c r="F43" s="449"/>
      <c r="G43" s="454"/>
      <c r="H43" s="433"/>
      <c r="I43" s="321"/>
      <c r="J43" s="410" t="s">
        <v>192</v>
      </c>
      <c r="K43" s="425">
        <v>885000</v>
      </c>
      <c r="L43" s="425">
        <v>885000</v>
      </c>
      <c r="M43" s="428">
        <f t="shared" si="5"/>
        <v>0</v>
      </c>
      <c r="N43" s="429">
        <f t="shared" si="6"/>
        <v>0</v>
      </c>
    </row>
    <row r="44" spans="1:14" ht="20.100000000000001" customHeight="1" x14ac:dyDescent="0.15">
      <c r="A44" s="449"/>
      <c r="B44" s="449"/>
      <c r="C44" s="449"/>
      <c r="D44" s="452"/>
      <c r="E44" s="449"/>
      <c r="F44" s="449"/>
      <c r="G44" s="454"/>
      <c r="H44" s="433"/>
      <c r="I44" s="321"/>
      <c r="J44" s="903" t="s">
        <v>203</v>
      </c>
      <c r="K44" s="425">
        <v>100000</v>
      </c>
      <c r="L44" s="897">
        <v>757000</v>
      </c>
      <c r="M44" s="898">
        <f t="shared" si="5"/>
        <v>657000</v>
      </c>
      <c r="N44" s="899">
        <f>M44/K44*100</f>
        <v>657</v>
      </c>
    </row>
    <row r="45" spans="1:14" ht="20.100000000000001" customHeight="1" x14ac:dyDescent="0.15">
      <c r="A45" s="449"/>
      <c r="B45" s="449"/>
      <c r="C45" s="449"/>
      <c r="D45" s="452"/>
      <c r="E45" s="449"/>
      <c r="F45" s="449"/>
      <c r="G45" s="454"/>
      <c r="H45" s="433"/>
      <c r="I45" s="321"/>
      <c r="J45" s="903" t="s">
        <v>193</v>
      </c>
      <c r="K45" s="425">
        <v>11500700</v>
      </c>
      <c r="L45" s="897">
        <v>16490700</v>
      </c>
      <c r="M45" s="898">
        <f t="shared" ref="M45:M58" si="11">L45-K45</f>
        <v>4990000</v>
      </c>
      <c r="N45" s="899">
        <f t="shared" ref="N45:N56" si="12">M45/K45*100</f>
        <v>43.388663298755723</v>
      </c>
    </row>
    <row r="46" spans="1:14" ht="20.100000000000001" customHeight="1" x14ac:dyDescent="0.15">
      <c r="A46" s="449"/>
      <c r="B46" s="449"/>
      <c r="C46" s="449"/>
      <c r="D46" s="452"/>
      <c r="E46" s="449"/>
      <c r="F46" s="449"/>
      <c r="G46" s="454"/>
      <c r="H46" s="433"/>
      <c r="I46" s="321"/>
      <c r="J46" s="903" t="s">
        <v>194</v>
      </c>
      <c r="K46" s="425">
        <v>10705000</v>
      </c>
      <c r="L46" s="897">
        <v>13072850</v>
      </c>
      <c r="M46" s="898">
        <f t="shared" si="11"/>
        <v>2367850</v>
      </c>
      <c r="N46" s="899">
        <f t="shared" si="12"/>
        <v>22.119103222793086</v>
      </c>
    </row>
    <row r="47" spans="1:14" ht="20.100000000000001" customHeight="1" x14ac:dyDescent="0.15">
      <c r="A47" s="449"/>
      <c r="B47" s="449"/>
      <c r="C47" s="449"/>
      <c r="D47" s="452"/>
      <c r="E47" s="449"/>
      <c r="F47" s="449"/>
      <c r="G47" s="454"/>
      <c r="H47" s="432"/>
      <c r="I47" s="321"/>
      <c r="J47" s="455" t="s">
        <v>195</v>
      </c>
      <c r="K47" s="428">
        <v>7409000</v>
      </c>
      <c r="L47" s="428">
        <v>7409000</v>
      </c>
      <c r="M47" s="428">
        <f t="shared" si="11"/>
        <v>0</v>
      </c>
      <c r="N47" s="429">
        <f t="shared" si="12"/>
        <v>0</v>
      </c>
    </row>
    <row r="48" spans="1:14" ht="20.100000000000001" customHeight="1" x14ac:dyDescent="0.15">
      <c r="A48" s="449"/>
      <c r="B48" s="449"/>
      <c r="C48" s="449"/>
      <c r="D48" s="452"/>
      <c r="E48" s="449"/>
      <c r="F48" s="449"/>
      <c r="G48" s="454"/>
      <c r="H48" s="433"/>
      <c r="I48" s="321"/>
      <c r="J48" s="900" t="s">
        <v>196</v>
      </c>
      <c r="K48" s="444">
        <v>2860000</v>
      </c>
      <c r="L48" s="901">
        <v>6278928</v>
      </c>
      <c r="M48" s="901">
        <f t="shared" si="11"/>
        <v>3418928</v>
      </c>
      <c r="N48" s="902">
        <f t="shared" si="12"/>
        <v>119.54293706293706</v>
      </c>
    </row>
    <row r="49" spans="1:14" ht="20.100000000000001" customHeight="1" x14ac:dyDescent="0.15">
      <c r="A49" s="449"/>
      <c r="B49" s="449"/>
      <c r="C49" s="449"/>
      <c r="D49" s="452"/>
      <c r="E49" s="449"/>
      <c r="F49" s="449"/>
      <c r="G49" s="454"/>
      <c r="H49" s="433"/>
      <c r="I49" s="321"/>
      <c r="J49" s="455" t="s">
        <v>197</v>
      </c>
      <c r="K49" s="428">
        <v>750000</v>
      </c>
      <c r="L49" s="428">
        <v>750000</v>
      </c>
      <c r="M49" s="428">
        <f t="shared" si="11"/>
        <v>0</v>
      </c>
      <c r="N49" s="429">
        <f t="shared" si="12"/>
        <v>0</v>
      </c>
    </row>
    <row r="50" spans="1:14" ht="20.100000000000001" customHeight="1" thickBot="1" x14ac:dyDescent="0.2">
      <c r="A50" s="449"/>
      <c r="B50" s="449"/>
      <c r="C50" s="449"/>
      <c r="D50" s="449"/>
      <c r="E50" s="449"/>
      <c r="F50" s="449"/>
      <c r="G50" s="454"/>
      <c r="H50" s="460"/>
      <c r="I50" s="836" t="s">
        <v>198</v>
      </c>
      <c r="J50" s="500"/>
      <c r="K50" s="462">
        <f>K51</f>
        <v>1000000</v>
      </c>
      <c r="L50" s="462">
        <f>L51</f>
        <v>1000000</v>
      </c>
      <c r="M50" s="463">
        <f t="shared" si="11"/>
        <v>0</v>
      </c>
      <c r="N50" s="464">
        <v>0</v>
      </c>
    </row>
    <row r="51" spans="1:14" ht="20.100000000000001" customHeight="1" x14ac:dyDescent="0.15">
      <c r="A51" s="449"/>
      <c r="B51" s="449"/>
      <c r="C51" s="449"/>
      <c r="D51" s="449"/>
      <c r="E51" s="449"/>
      <c r="F51" s="449"/>
      <c r="G51" s="454"/>
      <c r="H51" s="440"/>
      <c r="I51" s="319"/>
      <c r="J51" s="457" t="s">
        <v>198</v>
      </c>
      <c r="K51" s="439">
        <v>1000000</v>
      </c>
      <c r="L51" s="439">
        <v>1000000</v>
      </c>
      <c r="M51" s="444">
        <f t="shared" si="11"/>
        <v>0</v>
      </c>
      <c r="N51" s="445">
        <v>0</v>
      </c>
    </row>
    <row r="52" spans="1:14" ht="20.100000000000001" customHeight="1" x14ac:dyDescent="0.15">
      <c r="A52" s="449"/>
      <c r="B52" s="449"/>
      <c r="C52" s="449"/>
      <c r="D52" s="449"/>
      <c r="E52" s="449"/>
      <c r="F52" s="449"/>
      <c r="G52" s="454"/>
      <c r="H52" s="987" t="s">
        <v>199</v>
      </c>
      <c r="I52" s="988"/>
      <c r="J52" s="989"/>
      <c r="K52" s="425">
        <f>K53</f>
        <v>118540</v>
      </c>
      <c r="L52" s="425">
        <f>L53</f>
        <v>118540</v>
      </c>
      <c r="M52" s="428">
        <f t="shared" si="11"/>
        <v>0</v>
      </c>
      <c r="N52" s="429">
        <f t="shared" si="12"/>
        <v>0</v>
      </c>
    </row>
    <row r="53" spans="1:14" ht="20.100000000000001" customHeight="1" x14ac:dyDescent="0.15">
      <c r="A53" s="449"/>
      <c r="B53" s="449"/>
      <c r="C53" s="449"/>
      <c r="D53" s="449"/>
      <c r="E53" s="449"/>
      <c r="F53" s="449"/>
      <c r="G53" s="454"/>
      <c r="H53" s="430"/>
      <c r="I53" s="471" t="s">
        <v>199</v>
      </c>
      <c r="J53" s="472"/>
      <c r="K53" s="425">
        <f>K54</f>
        <v>118540</v>
      </c>
      <c r="L53" s="425">
        <f>L54</f>
        <v>118540</v>
      </c>
      <c r="M53" s="428">
        <f t="shared" si="11"/>
        <v>0</v>
      </c>
      <c r="N53" s="429">
        <f t="shared" si="12"/>
        <v>0</v>
      </c>
    </row>
    <row r="54" spans="1:14" ht="20.100000000000001" customHeight="1" x14ac:dyDescent="0.15">
      <c r="A54" s="449"/>
      <c r="B54" s="449"/>
      <c r="C54" s="449"/>
      <c r="D54" s="449"/>
      <c r="E54" s="449"/>
      <c r="F54" s="449"/>
      <c r="G54" s="454"/>
      <c r="H54" s="434"/>
      <c r="I54" s="449"/>
      <c r="J54" s="471" t="s">
        <v>199</v>
      </c>
      <c r="K54" s="425">
        <v>118540</v>
      </c>
      <c r="L54" s="425">
        <v>118540</v>
      </c>
      <c r="M54" s="428">
        <f t="shared" si="11"/>
        <v>0</v>
      </c>
      <c r="N54" s="429">
        <f t="shared" si="12"/>
        <v>0</v>
      </c>
    </row>
    <row r="55" spans="1:14" ht="20.100000000000001" customHeight="1" x14ac:dyDescent="0.15">
      <c r="A55" s="449"/>
      <c r="B55" s="449"/>
      <c r="C55" s="449"/>
      <c r="D55" s="449"/>
      <c r="E55" s="449"/>
      <c r="F55" s="449"/>
      <c r="G55" s="454"/>
      <c r="H55" s="893" t="s">
        <v>200</v>
      </c>
      <c r="I55" s="894"/>
      <c r="J55" s="895"/>
      <c r="K55" s="425">
        <f>K56</f>
        <v>80150</v>
      </c>
      <c r="L55" s="897">
        <f>L56</f>
        <v>338662</v>
      </c>
      <c r="M55" s="898">
        <f t="shared" si="11"/>
        <v>258512</v>
      </c>
      <c r="N55" s="899">
        <f t="shared" si="12"/>
        <v>322.53524641297571</v>
      </c>
    </row>
    <row r="56" spans="1:14" ht="20.100000000000001" customHeight="1" x14ac:dyDescent="0.15">
      <c r="A56" s="449"/>
      <c r="B56" s="449"/>
      <c r="C56" s="449"/>
      <c r="D56" s="449"/>
      <c r="E56" s="449"/>
      <c r="F56" s="449"/>
      <c r="G56" s="454"/>
      <c r="H56" s="896"/>
      <c r="I56" s="990" t="s">
        <v>200</v>
      </c>
      <c r="J56" s="986"/>
      <c r="K56" s="425">
        <f>SUM(K57:K58)</f>
        <v>80150</v>
      </c>
      <c r="L56" s="897">
        <f>SUM(L57:L58)</f>
        <v>338662</v>
      </c>
      <c r="M56" s="898">
        <f>L56-K56</f>
        <v>258512</v>
      </c>
      <c r="N56" s="899">
        <f t="shared" si="12"/>
        <v>322.53524641297571</v>
      </c>
    </row>
    <row r="57" spans="1:14" ht="20.100000000000001" customHeight="1" x14ac:dyDescent="0.15">
      <c r="A57" s="449"/>
      <c r="B57" s="449"/>
      <c r="C57" s="449"/>
      <c r="D57" s="449"/>
      <c r="E57" s="449"/>
      <c r="F57" s="449"/>
      <c r="G57" s="454"/>
      <c r="H57" s="433"/>
      <c r="I57" s="458"/>
      <c r="J57" s="435" t="s">
        <v>206</v>
      </c>
      <c r="K57" s="436">
        <v>0</v>
      </c>
      <c r="L57" s="436">
        <f>세출!E187</f>
        <v>0</v>
      </c>
      <c r="M57" s="459">
        <f>L57-K57</f>
        <v>0</v>
      </c>
      <c r="N57" s="429">
        <v>0</v>
      </c>
    </row>
    <row r="58" spans="1:14" ht="20.100000000000001" customHeight="1" thickBot="1" x14ac:dyDescent="0.2">
      <c r="A58" s="449"/>
      <c r="B58" s="449"/>
      <c r="C58" s="449"/>
      <c r="D58" s="449"/>
      <c r="E58" s="449"/>
      <c r="F58" s="449"/>
      <c r="G58" s="454"/>
      <c r="H58" s="460"/>
      <c r="I58" s="461"/>
      <c r="J58" s="889" t="s">
        <v>207</v>
      </c>
      <c r="K58" s="462">
        <v>80150</v>
      </c>
      <c r="L58" s="890">
        <v>338662</v>
      </c>
      <c r="M58" s="891">
        <f t="shared" si="11"/>
        <v>258512</v>
      </c>
      <c r="N58" s="892">
        <v>0</v>
      </c>
    </row>
    <row r="59" spans="1:14" ht="18" customHeight="1" x14ac:dyDescent="0.15">
      <c r="A59" s="449"/>
      <c r="B59" s="449"/>
      <c r="C59" s="449"/>
      <c r="D59" s="449"/>
      <c r="E59" s="449"/>
      <c r="F59" s="449"/>
      <c r="G59" s="150"/>
      <c r="H59" s="150"/>
      <c r="I59" s="150"/>
      <c r="J59" s="150"/>
      <c r="K59" s="150"/>
      <c r="L59" s="150"/>
      <c r="M59" s="150"/>
      <c r="N59" s="150"/>
    </row>
    <row r="60" spans="1:14" ht="18" customHeight="1" x14ac:dyDescent="0.15">
      <c r="A60" s="449"/>
      <c r="B60" s="449"/>
      <c r="C60" s="449"/>
      <c r="D60" s="449"/>
      <c r="E60" s="449"/>
      <c r="F60" s="449"/>
      <c r="G60" s="150"/>
      <c r="H60" s="150"/>
      <c r="I60" s="150"/>
      <c r="J60" s="150"/>
      <c r="K60" s="150"/>
      <c r="L60" s="150"/>
      <c r="M60" s="150"/>
      <c r="N60" s="150"/>
    </row>
    <row r="61" spans="1:14" ht="18" customHeight="1" x14ac:dyDescent="0.15">
      <c r="A61" s="449"/>
      <c r="B61" s="449"/>
      <c r="C61" s="449"/>
      <c r="D61" s="449"/>
      <c r="E61" s="449"/>
      <c r="F61" s="449"/>
      <c r="G61" s="150"/>
      <c r="K61" s="150"/>
      <c r="L61" s="150"/>
      <c r="M61" s="150"/>
      <c r="N61" s="150"/>
    </row>
    <row r="62" spans="1:14" ht="18" customHeight="1" x14ac:dyDescent="0.15">
      <c r="A62" s="187"/>
      <c r="B62" s="187"/>
      <c r="C62" s="187"/>
      <c r="D62" s="187"/>
      <c r="E62" s="187"/>
      <c r="F62" s="187"/>
      <c r="G62" s="150"/>
      <c r="K62" s="150"/>
      <c r="L62" s="150"/>
      <c r="M62" s="150"/>
      <c r="N62" s="150"/>
    </row>
    <row r="63" spans="1:14" ht="18" customHeight="1" x14ac:dyDescent="0.15">
      <c r="A63" s="187"/>
      <c r="B63" s="187"/>
      <c r="C63" s="187"/>
      <c r="D63" s="187"/>
      <c r="E63" s="187"/>
      <c r="F63" s="187"/>
      <c r="G63" s="150"/>
      <c r="K63" s="150"/>
      <c r="L63" s="150"/>
      <c r="M63" s="150"/>
      <c r="N63" s="150"/>
    </row>
    <row r="64" spans="1:14" ht="18" customHeight="1" x14ac:dyDescent="0.15">
      <c r="A64" s="150"/>
      <c r="B64" s="150"/>
      <c r="C64" s="150"/>
      <c r="D64" s="150"/>
      <c r="E64" s="150"/>
      <c r="F64" s="150"/>
      <c r="G64" s="150"/>
      <c r="K64" s="150"/>
      <c r="L64" s="150"/>
      <c r="M64" s="150"/>
      <c r="N64" s="150"/>
    </row>
    <row r="65" spans="1:14" ht="22.5" customHeight="1" x14ac:dyDescent="0.15">
      <c r="A65" s="150"/>
      <c r="B65" s="150"/>
      <c r="C65" s="150"/>
      <c r="D65" s="150"/>
      <c r="E65" s="150"/>
      <c r="F65" s="150"/>
      <c r="G65" s="150"/>
      <c r="K65" s="150"/>
      <c r="L65" s="150"/>
      <c r="M65" s="150"/>
      <c r="N65" s="150"/>
    </row>
    <row r="66" spans="1:14" ht="23.25" customHeight="1" x14ac:dyDescent="0.15">
      <c r="A66" s="150"/>
      <c r="B66" s="150"/>
      <c r="C66" s="150"/>
      <c r="D66" s="150"/>
      <c r="E66" s="150"/>
      <c r="F66" s="150"/>
    </row>
    <row r="67" spans="1:14" ht="18" customHeight="1" x14ac:dyDescent="0.15">
      <c r="A67" s="150"/>
      <c r="B67" s="150"/>
      <c r="C67" s="150"/>
      <c r="D67" s="150"/>
      <c r="E67" s="150"/>
      <c r="F67" s="150"/>
    </row>
    <row r="68" spans="1:14" ht="18" customHeight="1" x14ac:dyDescent="0.15">
      <c r="A68" s="150"/>
      <c r="B68" s="150"/>
      <c r="C68" s="150"/>
      <c r="D68" s="150"/>
      <c r="E68" s="150"/>
      <c r="F68" s="150"/>
    </row>
    <row r="69" spans="1:14" ht="18" customHeight="1" x14ac:dyDescent="0.15">
      <c r="A69" s="150"/>
      <c r="B69" s="150"/>
      <c r="C69" s="150"/>
      <c r="D69" s="150"/>
      <c r="E69" s="150"/>
      <c r="F69" s="150"/>
    </row>
    <row r="70" spans="1:14" ht="18" customHeight="1" x14ac:dyDescent="0.15">
      <c r="A70" s="150"/>
      <c r="B70" s="150"/>
      <c r="C70" s="150"/>
      <c r="D70" s="150"/>
      <c r="E70" s="150"/>
      <c r="F70" s="150"/>
    </row>
    <row r="185" spans="8:15" ht="18" customHeight="1" x14ac:dyDescent="0.15">
      <c r="H185" s="134">
        <v>4</v>
      </c>
      <c r="I185" s="134" t="s">
        <v>205</v>
      </c>
    </row>
    <row r="186" spans="8:15" ht="18" customHeight="1" x14ac:dyDescent="0.15">
      <c r="I186" s="134" t="s">
        <v>204</v>
      </c>
      <c r="J186" s="134">
        <v>70000</v>
      </c>
    </row>
    <row r="187" spans="8:15" ht="18" customHeight="1" x14ac:dyDescent="0.15">
      <c r="H187" s="134">
        <v>5</v>
      </c>
    </row>
    <row r="189" spans="8:15" ht="18" customHeight="1" x14ac:dyDescent="0.15">
      <c r="H189" s="134">
        <v>6</v>
      </c>
    </row>
    <row r="191" spans="8:15" ht="18" customHeight="1" x14ac:dyDescent="0.15">
      <c r="H191" s="134">
        <v>7</v>
      </c>
      <c r="L191" s="206">
        <v>2</v>
      </c>
      <c r="O191" s="150">
        <f>J186*L191</f>
        <v>140000</v>
      </c>
    </row>
    <row r="208" spans="10:10" ht="18" customHeight="1" x14ac:dyDescent="0.15">
      <c r="J208" s="134">
        <v>560000</v>
      </c>
    </row>
  </sheetData>
  <mergeCells count="35">
    <mergeCell ref="A14:C14"/>
    <mergeCell ref="B4:B5"/>
    <mergeCell ref="H52:J52"/>
    <mergeCell ref="I56:J56"/>
    <mergeCell ref="A6:C6"/>
    <mergeCell ref="H6:J6"/>
    <mergeCell ref="D4:D5"/>
    <mergeCell ref="E4:E5"/>
    <mergeCell ref="A26:C26"/>
    <mergeCell ref="B23:C23"/>
    <mergeCell ref="B27:C27"/>
    <mergeCell ref="A18:C18"/>
    <mergeCell ref="B19:C19"/>
    <mergeCell ref="B15:C15"/>
    <mergeCell ref="I15:J15"/>
    <mergeCell ref="A22:C22"/>
    <mergeCell ref="B11:C11"/>
    <mergeCell ref="J4:J5"/>
    <mergeCell ref="A10:C10"/>
    <mergeCell ref="I8:J8"/>
    <mergeCell ref="H7:J7"/>
    <mergeCell ref="A7:C7"/>
    <mergeCell ref="B8:C8"/>
    <mergeCell ref="A1:N1"/>
    <mergeCell ref="M2:N2"/>
    <mergeCell ref="A3:G3"/>
    <mergeCell ref="H3:N3"/>
    <mergeCell ref="F4:G4"/>
    <mergeCell ref="M4:N4"/>
    <mergeCell ref="I4:I5"/>
    <mergeCell ref="H4:H5"/>
    <mergeCell ref="C4:C5"/>
    <mergeCell ref="A4:A5"/>
    <mergeCell ref="K4:K5"/>
    <mergeCell ref="L4:L5"/>
  </mergeCells>
  <phoneticPr fontId="28" type="noConversion"/>
  <printOptions horizontalCentered="1"/>
  <pageMargins left="0.78740157480314965" right="0.78740157480314965" top="1.1811023622047245" bottom="0.98425196850393704" header="0" footer="0"/>
  <pageSetup paperSize="9" scale="78" firstPageNumber="29" fitToHeight="0" orientation="landscape" useFirstPageNumber="1" r:id="rId1"/>
  <headerFooter scaleWithDoc="0" alignWithMargins="0">
    <oddFooter>&amp;C&amp;P</oddFooter>
  </headerFooter>
  <rowBreaks count="2" manualBreakCount="2">
    <brk id="26" max="13" man="1"/>
    <brk id="5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45"/>
  <sheetViews>
    <sheetView view="pageBreakPreview" zoomScale="90" zoomScaleNormal="89" zoomScaleSheetLayoutView="90" workbookViewId="0">
      <selection activeCell="J12" sqref="J12"/>
    </sheetView>
  </sheetViews>
  <sheetFormatPr defaultRowHeight="18" customHeight="1" x14ac:dyDescent="0.2"/>
  <cols>
    <col min="1" max="1" width="4.77734375" style="135" customWidth="1"/>
    <col min="2" max="2" width="4.77734375" style="136" customWidth="1"/>
    <col min="3" max="3" width="13.77734375" style="136" customWidth="1"/>
    <col min="4" max="5" width="11.77734375" style="199" customWidth="1"/>
    <col min="6" max="6" width="11.77734375" style="200" customWidth="1"/>
    <col min="7" max="7" width="8.77734375" style="137" customWidth="1"/>
    <col min="8" max="8" width="3.77734375" style="138" customWidth="1"/>
    <col min="9" max="9" width="22.77734375" style="139" customWidth="1"/>
    <col min="10" max="10" width="13.77734375" style="136" customWidth="1"/>
    <col min="11" max="11" width="3.77734375" style="136" customWidth="1"/>
    <col min="12" max="12" width="6.77734375" style="136" customWidth="1"/>
    <col min="13" max="13" width="3.77734375" style="136" customWidth="1"/>
    <col min="14" max="14" width="6.77734375" style="137" customWidth="1"/>
    <col min="15" max="15" width="15.77734375" style="140" customWidth="1"/>
    <col min="16" max="16" width="10.109375" style="140" bestFit="1" customWidth="1"/>
    <col min="17" max="47" width="8.88671875" style="140"/>
    <col min="48" max="16384" width="8.88671875" style="136"/>
  </cols>
  <sheetData>
    <row r="1" spans="1:47" s="132" customFormat="1" ht="21.95" customHeight="1" thickBot="1" x14ac:dyDescent="0.2">
      <c r="A1" s="189" t="s">
        <v>36</v>
      </c>
      <c r="B1" s="182"/>
      <c r="C1" s="182"/>
      <c r="D1" s="195"/>
      <c r="E1" s="195"/>
      <c r="F1" s="196"/>
      <c r="G1" s="141"/>
      <c r="H1" s="142"/>
      <c r="I1" s="143"/>
      <c r="N1" s="141"/>
      <c r="O1" s="144" t="s">
        <v>37</v>
      </c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</row>
    <row r="2" spans="1:47" s="229" customFormat="1" ht="21.95" customHeight="1" x14ac:dyDescent="0.15">
      <c r="A2" s="1023" t="str">
        <f>총괄!A4</f>
        <v>관</v>
      </c>
      <c r="B2" s="1025" t="str">
        <f>총괄!B4</f>
        <v>항</v>
      </c>
      <c r="C2" s="1025" t="str">
        <f>총괄!C4</f>
        <v>목</v>
      </c>
      <c r="D2" s="1033" t="s">
        <v>217</v>
      </c>
      <c r="E2" s="1033" t="s">
        <v>218</v>
      </c>
      <c r="F2" s="1035" t="str">
        <f>총괄!F4</f>
        <v>증감(B)-(A)</v>
      </c>
      <c r="G2" s="1035"/>
      <c r="H2" s="1027" t="s">
        <v>135</v>
      </c>
      <c r="I2" s="1028"/>
      <c r="J2" s="1028"/>
      <c r="K2" s="1028"/>
      <c r="L2" s="1028"/>
      <c r="M2" s="1028"/>
      <c r="N2" s="1028"/>
      <c r="O2" s="1029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</row>
    <row r="3" spans="1:47" s="229" customFormat="1" ht="21.95" customHeight="1" x14ac:dyDescent="0.15">
      <c r="A3" s="1024"/>
      <c r="B3" s="1026"/>
      <c r="C3" s="1026"/>
      <c r="D3" s="1034"/>
      <c r="E3" s="1034"/>
      <c r="F3" s="192" t="str">
        <f>총괄!F5</f>
        <v>액수</v>
      </c>
      <c r="G3" s="192" t="str">
        <f>총괄!G5</f>
        <v>비율(%)</v>
      </c>
      <c r="H3" s="1030"/>
      <c r="I3" s="1031"/>
      <c r="J3" s="1031"/>
      <c r="K3" s="1031"/>
      <c r="L3" s="1031"/>
      <c r="M3" s="1031"/>
      <c r="N3" s="1031"/>
      <c r="O3" s="1032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</row>
    <row r="4" spans="1:47" s="212" customFormat="1" ht="21.95" customHeight="1" thickBot="1" x14ac:dyDescent="0.2">
      <c r="A4" s="1020" t="s">
        <v>38</v>
      </c>
      <c r="B4" s="1021"/>
      <c r="C4" s="1022"/>
      <c r="D4" s="209">
        <f>D9+D113+D134+D138+D127+D5</f>
        <v>762300000</v>
      </c>
      <c r="E4" s="209">
        <f>E9+E113+E134+E138+E127+E5</f>
        <v>786099999.59128106</v>
      </c>
      <c r="F4" s="577">
        <f>E4-D4</f>
        <v>23799999.591281056</v>
      </c>
      <c r="G4" s="578">
        <f>F4/D4*100</f>
        <v>3.1221303412411197</v>
      </c>
      <c r="H4" s="655"/>
      <c r="I4" s="580"/>
      <c r="J4" s="580"/>
      <c r="K4" s="580"/>
      <c r="L4" s="580"/>
      <c r="M4" s="580"/>
      <c r="N4" s="580"/>
      <c r="O4" s="584">
        <f>O9+O113+O134+O138+O127+O5</f>
        <v>786099999.59128106</v>
      </c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</row>
    <row r="5" spans="1:47" s="212" customFormat="1" ht="21.95" customHeight="1" thickBot="1" x14ac:dyDescent="0.2">
      <c r="A5" s="1036" t="s">
        <v>216</v>
      </c>
      <c r="B5" s="1037"/>
      <c r="C5" s="1038"/>
      <c r="D5" s="209">
        <f>D6</f>
        <v>1800000</v>
      </c>
      <c r="E5" s="209">
        <f>E6</f>
        <v>3000000</v>
      </c>
      <c r="F5" s="209">
        <f>E5-D5</f>
        <v>1200000</v>
      </c>
      <c r="G5" s="578">
        <f t="shared" ref="G5:G7" si="0">F5/D5*100</f>
        <v>66.666666666666657</v>
      </c>
      <c r="H5" s="475"/>
      <c r="I5" s="476"/>
      <c r="J5" s="476"/>
      <c r="K5" s="476"/>
      <c r="L5" s="476"/>
      <c r="M5" s="476"/>
      <c r="N5" s="476"/>
      <c r="O5" s="477">
        <f>O6</f>
        <v>3000000</v>
      </c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</row>
    <row r="6" spans="1:47" s="212" customFormat="1" ht="21.95" customHeight="1" x14ac:dyDescent="0.15">
      <c r="A6" s="488"/>
      <c r="B6" s="1039" t="s">
        <v>216</v>
      </c>
      <c r="C6" s="1040"/>
      <c r="D6" s="485">
        <f>D7</f>
        <v>1800000</v>
      </c>
      <c r="E6" s="485">
        <f>E7</f>
        <v>3000000</v>
      </c>
      <c r="F6" s="485">
        <f>E6-D6</f>
        <v>1200000</v>
      </c>
      <c r="G6" s="656">
        <f t="shared" si="0"/>
        <v>66.666666666666657</v>
      </c>
      <c r="H6" s="486"/>
      <c r="I6" s="487"/>
      <c r="J6" s="487"/>
      <c r="K6" s="487"/>
      <c r="L6" s="487"/>
      <c r="M6" s="487"/>
      <c r="N6" s="487"/>
      <c r="O6" s="657">
        <f>O7</f>
        <v>3000000</v>
      </c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</row>
    <row r="7" spans="1:47" s="212" customFormat="1" ht="21.95" customHeight="1" x14ac:dyDescent="0.15">
      <c r="A7" s="490"/>
      <c r="B7" s="491"/>
      <c r="C7" s="658" t="s">
        <v>216</v>
      </c>
      <c r="D7" s="493">
        <v>1800000</v>
      </c>
      <c r="E7" s="493">
        <f>O7</f>
        <v>3000000</v>
      </c>
      <c r="F7" s="659">
        <f>E7-D7</f>
        <v>1200000</v>
      </c>
      <c r="G7" s="253">
        <f t="shared" si="0"/>
        <v>66.666666666666657</v>
      </c>
      <c r="H7" s="520"/>
      <c r="I7" s="365"/>
      <c r="J7" s="365"/>
      <c r="K7" s="365"/>
      <c r="L7" s="365"/>
      <c r="M7" s="365"/>
      <c r="N7" s="365"/>
      <c r="O7" s="660">
        <f>O8</f>
        <v>3000000</v>
      </c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</row>
    <row r="8" spans="1:47" s="212" customFormat="1" ht="21.95" customHeight="1" thickBot="1" x14ac:dyDescent="0.2">
      <c r="A8" s="489"/>
      <c r="B8" s="492"/>
      <c r="C8" s="492"/>
      <c r="D8" s="494"/>
      <c r="E8" s="494"/>
      <c r="F8" s="478"/>
      <c r="G8" s="495"/>
      <c r="H8" s="837">
        <v>1</v>
      </c>
      <c r="I8" s="1048" t="s">
        <v>441</v>
      </c>
      <c r="J8" s="1048"/>
      <c r="K8" s="1048"/>
      <c r="L8" s="1048"/>
      <c r="M8" s="1048"/>
      <c r="N8" s="1048"/>
      <c r="O8" s="782">
        <v>3000000</v>
      </c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</row>
    <row r="9" spans="1:47" s="212" customFormat="1" ht="21.95" customHeight="1" thickBot="1" x14ac:dyDescent="0.2">
      <c r="A9" s="1045" t="s">
        <v>143</v>
      </c>
      <c r="B9" s="1046"/>
      <c r="C9" s="1047"/>
      <c r="D9" s="479">
        <f>D10</f>
        <v>728281890</v>
      </c>
      <c r="E9" s="479">
        <f>E10</f>
        <v>728281889.59128106</v>
      </c>
      <c r="F9" s="480">
        <f>E9-D9</f>
        <v>-0.40871894359588623</v>
      </c>
      <c r="G9" s="481">
        <f>F9/D9*100</f>
        <v>-5.6120981340876982E-8</v>
      </c>
      <c r="H9" s="475"/>
      <c r="I9" s="476"/>
      <c r="J9" s="482"/>
      <c r="K9" s="476"/>
      <c r="L9" s="483"/>
      <c r="M9" s="476"/>
      <c r="N9" s="484"/>
      <c r="O9" s="477">
        <f>SUM(O10)</f>
        <v>728281889.59128106</v>
      </c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</row>
    <row r="10" spans="1:47" s="229" customFormat="1" ht="21.95" customHeight="1" x14ac:dyDescent="0.15">
      <c r="A10" s="218"/>
      <c r="B10" s="1010" t="str">
        <f>A9</f>
        <v>보조금수입</v>
      </c>
      <c r="C10" s="1011"/>
      <c r="D10" s="219">
        <f>D11+D18</f>
        <v>728281890</v>
      </c>
      <c r="E10" s="219">
        <f>E11+E18</f>
        <v>728281889.59128106</v>
      </c>
      <c r="F10" s="220">
        <f>E10-D10</f>
        <v>-0.40871894359588623</v>
      </c>
      <c r="G10" s="310">
        <f>F10/D10*100</f>
        <v>-5.6120981340876982E-8</v>
      </c>
      <c r="H10" s="221"/>
      <c r="I10" s="222"/>
      <c r="J10" s="223"/>
      <c r="K10" s="222"/>
      <c r="L10" s="224"/>
      <c r="M10" s="222"/>
      <c r="N10" s="225"/>
      <c r="O10" s="226">
        <f>O11+O18</f>
        <v>728281889.59128106</v>
      </c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</row>
    <row r="11" spans="1:47" s="229" customFormat="1" ht="21.95" customHeight="1" x14ac:dyDescent="0.15">
      <c r="A11" s="218"/>
      <c r="B11" s="230"/>
      <c r="C11" s="230" t="s">
        <v>133</v>
      </c>
      <c r="D11" s="231">
        <v>72521700</v>
      </c>
      <c r="E11" s="232">
        <f>O11</f>
        <v>72521700</v>
      </c>
      <c r="F11" s="232">
        <f>E11-D11</f>
        <v>0</v>
      </c>
      <c r="G11" s="253">
        <f>F11/D11*100</f>
        <v>0</v>
      </c>
      <c r="H11" s="526"/>
      <c r="I11" s="522"/>
      <c r="J11" s="537"/>
      <c r="K11" s="239"/>
      <c r="L11" s="529"/>
      <c r="M11" s="239"/>
      <c r="N11" s="240"/>
      <c r="O11" s="530">
        <v>72521700</v>
      </c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</row>
    <row r="12" spans="1:47" s="229" customFormat="1" ht="21.95" customHeight="1" x14ac:dyDescent="0.15">
      <c r="A12" s="218"/>
      <c r="B12" s="230"/>
      <c r="C12" s="230"/>
      <c r="D12" s="231"/>
      <c r="E12" s="232"/>
      <c r="F12" s="232"/>
      <c r="G12" s="233"/>
      <c r="H12" s="521">
        <v>1</v>
      </c>
      <c r="I12" s="522" t="s">
        <v>285</v>
      </c>
      <c r="J12" s="537">
        <v>800000</v>
      </c>
      <c r="K12" s="367" t="s">
        <v>39</v>
      </c>
      <c r="L12" s="838">
        <v>12</v>
      </c>
      <c r="M12" s="239"/>
      <c r="N12" s="240"/>
      <c r="O12" s="241">
        <f>J12*L12</f>
        <v>9600000</v>
      </c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</row>
    <row r="13" spans="1:47" s="229" customFormat="1" ht="21.95" customHeight="1" x14ac:dyDescent="0.15">
      <c r="A13" s="218"/>
      <c r="B13" s="230"/>
      <c r="C13" s="230"/>
      <c r="D13" s="231"/>
      <c r="E13" s="232"/>
      <c r="F13" s="232"/>
      <c r="G13" s="233"/>
      <c r="H13" s="242">
        <v>2</v>
      </c>
      <c r="I13" s="243" t="s">
        <v>286</v>
      </c>
      <c r="J13" s="1003" t="s">
        <v>287</v>
      </c>
      <c r="K13" s="1003"/>
      <c r="L13" s="1003"/>
      <c r="M13" s="1003"/>
      <c r="N13" s="1003"/>
      <c r="O13" s="244">
        <v>60750750</v>
      </c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</row>
    <row r="14" spans="1:47" s="229" customFormat="1" ht="21.95" customHeight="1" x14ac:dyDescent="0.15">
      <c r="A14" s="218"/>
      <c r="B14" s="230"/>
      <c r="C14" s="230"/>
      <c r="D14" s="231"/>
      <c r="E14" s="232"/>
      <c r="F14" s="232"/>
      <c r="G14" s="233"/>
      <c r="H14" s="242">
        <v>3</v>
      </c>
      <c r="I14" s="243" t="s">
        <v>288</v>
      </c>
      <c r="J14" s="245"/>
      <c r="K14" s="238"/>
      <c r="L14" s="246"/>
      <c r="M14" s="238"/>
      <c r="N14" s="247"/>
      <c r="O14" s="244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</row>
    <row r="15" spans="1:47" s="229" customFormat="1" ht="21.95" customHeight="1" x14ac:dyDescent="0.15">
      <c r="A15" s="218"/>
      <c r="B15" s="230"/>
      <c r="C15" s="230"/>
      <c r="D15" s="231"/>
      <c r="E15" s="232"/>
      <c r="F15" s="232"/>
      <c r="G15" s="233"/>
      <c r="H15" s="242"/>
      <c r="I15" s="243" t="s">
        <v>289</v>
      </c>
      <c r="J15" s="245">
        <v>36300</v>
      </c>
      <c r="K15" s="238" t="s">
        <v>290</v>
      </c>
      <c r="L15" s="246">
        <v>23</v>
      </c>
      <c r="M15" s="238" t="s">
        <v>39</v>
      </c>
      <c r="N15" s="247">
        <v>0.9</v>
      </c>
      <c r="O15" s="244">
        <f>J15*L15*N15</f>
        <v>751410</v>
      </c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</row>
    <row r="16" spans="1:47" s="229" customFormat="1" ht="21.95" customHeight="1" x14ac:dyDescent="0.15">
      <c r="A16" s="218"/>
      <c r="B16" s="230"/>
      <c r="C16" s="230"/>
      <c r="D16" s="231"/>
      <c r="E16" s="232"/>
      <c r="F16" s="232"/>
      <c r="G16" s="233"/>
      <c r="H16" s="242"/>
      <c r="I16" s="243" t="s">
        <v>291</v>
      </c>
      <c r="J16" s="245">
        <v>36300</v>
      </c>
      <c r="K16" s="238" t="s">
        <v>39</v>
      </c>
      <c r="L16" s="246">
        <v>22</v>
      </c>
      <c r="M16" s="238" t="s">
        <v>39</v>
      </c>
      <c r="N16" s="247">
        <v>0.9</v>
      </c>
      <c r="O16" s="244">
        <f>J16*L16*N16</f>
        <v>718740</v>
      </c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</row>
    <row r="17" spans="1:47" s="229" customFormat="1" ht="21.95" customHeight="1" x14ac:dyDescent="0.15">
      <c r="A17" s="218"/>
      <c r="B17" s="230"/>
      <c r="C17" s="230"/>
      <c r="D17" s="231"/>
      <c r="E17" s="232"/>
      <c r="F17" s="232"/>
      <c r="G17" s="539"/>
      <c r="H17" s="534">
        <v>4</v>
      </c>
      <c r="I17" s="248" t="s">
        <v>292</v>
      </c>
      <c r="J17" s="245">
        <v>35394</v>
      </c>
      <c r="K17" s="238" t="s">
        <v>39</v>
      </c>
      <c r="L17" s="538">
        <v>22</v>
      </c>
      <c r="M17" s="238" t="s">
        <v>39</v>
      </c>
      <c r="N17" s="247">
        <v>0.9</v>
      </c>
      <c r="O17" s="249">
        <f>J17*L17*N17-1</f>
        <v>700800.20000000007</v>
      </c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</row>
    <row r="18" spans="1:47" s="229" customFormat="1" ht="21.95" customHeight="1" x14ac:dyDescent="0.15">
      <c r="A18" s="218"/>
      <c r="B18" s="230"/>
      <c r="C18" s="250" t="s">
        <v>134</v>
      </c>
      <c r="D18" s="251">
        <v>655760190</v>
      </c>
      <c r="E18" s="252">
        <f>O18</f>
        <v>655760189.59128106</v>
      </c>
      <c r="F18" s="252">
        <f>E18-D18</f>
        <v>-0.40871894359588623</v>
      </c>
      <c r="G18" s="253">
        <f>F18/D18*100</f>
        <v>-6.2327501703921096E-8</v>
      </c>
      <c r="H18" s="521"/>
      <c r="I18" s="522"/>
      <c r="J18" s="366"/>
      <c r="K18" s="398"/>
      <c r="L18" s="523"/>
      <c r="M18" s="524"/>
      <c r="N18" s="525"/>
      <c r="O18" s="540">
        <f>SUM(O20:O112)</f>
        <v>655760189.59128106</v>
      </c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</row>
    <row r="19" spans="1:47" s="229" customFormat="1" ht="21.95" customHeight="1" x14ac:dyDescent="0.15">
      <c r="A19" s="218"/>
      <c r="B19" s="230"/>
      <c r="C19" s="230"/>
      <c r="D19" s="231"/>
      <c r="E19" s="232"/>
      <c r="F19" s="232"/>
      <c r="G19" s="233"/>
      <c r="H19" s="521">
        <v>1</v>
      </c>
      <c r="I19" s="731" t="s">
        <v>293</v>
      </c>
      <c r="J19" s="732"/>
      <c r="K19" s="367"/>
      <c r="L19" s="240"/>
      <c r="M19" s="367"/>
      <c r="N19" s="733"/>
      <c r="O19" s="241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</row>
    <row r="20" spans="1:47" s="229" customFormat="1" ht="21.95" customHeight="1" x14ac:dyDescent="0.15">
      <c r="A20" s="218"/>
      <c r="B20" s="230"/>
      <c r="C20" s="230"/>
      <c r="D20" s="231"/>
      <c r="E20" s="232"/>
      <c r="F20" s="232"/>
      <c r="G20" s="233"/>
      <c r="H20" s="242"/>
      <c r="I20" s="259" t="s">
        <v>294</v>
      </c>
      <c r="J20" s="260">
        <v>3824800</v>
      </c>
      <c r="K20" s="238" t="s">
        <v>39</v>
      </c>
      <c r="L20" s="261">
        <v>1</v>
      </c>
      <c r="M20" s="238" t="s">
        <v>39</v>
      </c>
      <c r="N20" s="262">
        <v>9</v>
      </c>
      <c r="O20" s="263">
        <f>J20*L20*N20</f>
        <v>34423200</v>
      </c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</row>
    <row r="21" spans="1:47" s="229" customFormat="1" ht="21.95" customHeight="1" x14ac:dyDescent="0.15">
      <c r="A21" s="218"/>
      <c r="B21" s="230"/>
      <c r="C21" s="230"/>
      <c r="D21" s="231"/>
      <c r="E21" s="232"/>
      <c r="F21" s="232"/>
      <c r="G21" s="233"/>
      <c r="H21" s="242"/>
      <c r="I21" s="259" t="s">
        <v>295</v>
      </c>
      <c r="J21" s="260">
        <v>3892900</v>
      </c>
      <c r="K21" s="238" t="s">
        <v>39</v>
      </c>
      <c r="L21" s="261">
        <v>1</v>
      </c>
      <c r="M21" s="238" t="s">
        <v>39</v>
      </c>
      <c r="N21" s="262">
        <v>3</v>
      </c>
      <c r="O21" s="263">
        <f>J21*L21*N21</f>
        <v>11678700</v>
      </c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</row>
    <row r="22" spans="1:47" s="229" customFormat="1" ht="21.95" customHeight="1" x14ac:dyDescent="0.15">
      <c r="A22" s="218"/>
      <c r="B22" s="230"/>
      <c r="C22" s="230"/>
      <c r="D22" s="231"/>
      <c r="E22" s="232"/>
      <c r="F22" s="232"/>
      <c r="G22" s="233"/>
      <c r="H22" s="242"/>
      <c r="I22" s="259" t="s">
        <v>296</v>
      </c>
      <c r="J22" s="260">
        <v>3101900</v>
      </c>
      <c r="K22" s="238" t="s">
        <v>39</v>
      </c>
      <c r="L22" s="261">
        <v>1</v>
      </c>
      <c r="M22" s="238" t="s">
        <v>39</v>
      </c>
      <c r="N22" s="262">
        <v>3</v>
      </c>
      <c r="O22" s="263">
        <f t="shared" ref="O22:O46" si="1">J22*L22*N22</f>
        <v>9305700</v>
      </c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</row>
    <row r="23" spans="1:47" s="229" customFormat="1" ht="21.95" customHeight="1" x14ac:dyDescent="0.15">
      <c r="A23" s="218"/>
      <c r="B23" s="230"/>
      <c r="C23" s="230"/>
      <c r="D23" s="231"/>
      <c r="E23" s="232"/>
      <c r="F23" s="232"/>
      <c r="G23" s="233"/>
      <c r="H23" s="242"/>
      <c r="I23" s="259" t="s">
        <v>297</v>
      </c>
      <c r="J23" s="260">
        <v>3162500</v>
      </c>
      <c r="K23" s="238" t="s">
        <v>39</v>
      </c>
      <c r="L23" s="261">
        <v>1</v>
      </c>
      <c r="M23" s="238" t="s">
        <v>39</v>
      </c>
      <c r="N23" s="262">
        <v>9</v>
      </c>
      <c r="O23" s="263">
        <f t="shared" si="1"/>
        <v>28462500</v>
      </c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</row>
    <row r="24" spans="1:47" s="229" customFormat="1" ht="21.95" customHeight="1" x14ac:dyDescent="0.15">
      <c r="A24" s="218"/>
      <c r="B24" s="230"/>
      <c r="C24" s="230"/>
      <c r="D24" s="231"/>
      <c r="E24" s="232"/>
      <c r="F24" s="232"/>
      <c r="G24" s="233"/>
      <c r="H24" s="242"/>
      <c r="I24" s="259" t="s">
        <v>298</v>
      </c>
      <c r="J24" s="260">
        <v>3021700</v>
      </c>
      <c r="K24" s="238" t="s">
        <v>39</v>
      </c>
      <c r="L24" s="261">
        <v>1</v>
      </c>
      <c r="M24" s="238" t="s">
        <v>39</v>
      </c>
      <c r="N24" s="262">
        <v>9</v>
      </c>
      <c r="O24" s="263">
        <f t="shared" si="1"/>
        <v>27195300</v>
      </c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</row>
    <row r="25" spans="1:47" s="229" customFormat="1" ht="21.95" customHeight="1" thickBot="1" x14ac:dyDescent="0.2">
      <c r="A25" s="506"/>
      <c r="B25" s="507"/>
      <c r="C25" s="507"/>
      <c r="D25" s="651"/>
      <c r="E25" s="652"/>
      <c r="F25" s="652"/>
      <c r="G25" s="495"/>
      <c r="H25" s="746"/>
      <c r="I25" s="675" t="s">
        <v>299</v>
      </c>
      <c r="J25" s="751">
        <v>3111500</v>
      </c>
      <c r="K25" s="752" t="s">
        <v>39</v>
      </c>
      <c r="L25" s="468">
        <v>1</v>
      </c>
      <c r="M25" s="752" t="s">
        <v>39</v>
      </c>
      <c r="N25" s="768">
        <v>3</v>
      </c>
      <c r="O25" s="769">
        <f t="shared" si="1"/>
        <v>9334500</v>
      </c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</row>
    <row r="26" spans="1:47" s="229" customFormat="1" ht="21.95" customHeight="1" x14ac:dyDescent="0.15">
      <c r="A26" s="218"/>
      <c r="B26" s="230"/>
      <c r="C26" s="230"/>
      <c r="D26" s="231"/>
      <c r="E26" s="232"/>
      <c r="F26" s="232"/>
      <c r="G26" s="233"/>
      <c r="H26" s="242"/>
      <c r="I26" s="259" t="s">
        <v>300</v>
      </c>
      <c r="J26" s="260">
        <v>2444000</v>
      </c>
      <c r="K26" s="238" t="s">
        <v>39</v>
      </c>
      <c r="L26" s="261">
        <v>1</v>
      </c>
      <c r="M26" s="238" t="s">
        <v>39</v>
      </c>
      <c r="N26" s="262">
        <v>2</v>
      </c>
      <c r="O26" s="263">
        <f t="shared" si="1"/>
        <v>4888000</v>
      </c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</row>
    <row r="27" spans="1:47" s="229" customFormat="1" ht="21.95" customHeight="1" x14ac:dyDescent="0.15">
      <c r="A27" s="218"/>
      <c r="B27" s="230"/>
      <c r="C27" s="230"/>
      <c r="D27" s="231"/>
      <c r="E27" s="232"/>
      <c r="F27" s="232"/>
      <c r="G27" s="233"/>
      <c r="H27" s="242"/>
      <c r="I27" s="259" t="s">
        <v>301</v>
      </c>
      <c r="J27" s="260">
        <v>1967900</v>
      </c>
      <c r="K27" s="238" t="s">
        <v>39</v>
      </c>
      <c r="L27" s="261">
        <v>1</v>
      </c>
      <c r="M27" s="238" t="s">
        <v>39</v>
      </c>
      <c r="N27" s="262">
        <v>10</v>
      </c>
      <c r="O27" s="263">
        <f t="shared" si="1"/>
        <v>19679000</v>
      </c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</row>
    <row r="28" spans="1:47" s="229" customFormat="1" ht="21.95" customHeight="1" x14ac:dyDescent="0.15">
      <c r="A28" s="218"/>
      <c r="B28" s="230"/>
      <c r="C28" s="230"/>
      <c r="D28" s="231"/>
      <c r="E28" s="232"/>
      <c r="F28" s="232"/>
      <c r="G28" s="233"/>
      <c r="H28" s="242"/>
      <c r="I28" s="259" t="s">
        <v>302</v>
      </c>
      <c r="J28" s="260">
        <v>2028200</v>
      </c>
      <c r="K28" s="238" t="s">
        <v>39</v>
      </c>
      <c r="L28" s="261">
        <v>1</v>
      </c>
      <c r="M28" s="238" t="s">
        <v>39</v>
      </c>
      <c r="N28" s="262">
        <v>2</v>
      </c>
      <c r="O28" s="263">
        <f t="shared" si="1"/>
        <v>4056400</v>
      </c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</row>
    <row r="29" spans="1:47" s="229" customFormat="1" ht="21.95" customHeight="1" x14ac:dyDescent="0.15">
      <c r="A29" s="218"/>
      <c r="B29" s="230"/>
      <c r="C29" s="230"/>
      <c r="D29" s="231"/>
      <c r="E29" s="232"/>
      <c r="F29" s="232"/>
      <c r="G29" s="233"/>
      <c r="H29" s="242"/>
      <c r="I29" s="259" t="s">
        <v>303</v>
      </c>
      <c r="J29" s="260">
        <v>2175500</v>
      </c>
      <c r="K29" s="238" t="s">
        <v>39</v>
      </c>
      <c r="L29" s="261">
        <v>1</v>
      </c>
      <c r="M29" s="238" t="s">
        <v>39</v>
      </c>
      <c r="N29" s="262">
        <v>2</v>
      </c>
      <c r="O29" s="263">
        <f t="shared" si="1"/>
        <v>4351000</v>
      </c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</row>
    <row r="30" spans="1:47" s="229" customFormat="1" ht="21.95" customHeight="1" x14ac:dyDescent="0.15">
      <c r="A30" s="218"/>
      <c r="B30" s="230"/>
      <c r="C30" s="230"/>
      <c r="D30" s="231"/>
      <c r="E30" s="232"/>
      <c r="F30" s="232"/>
      <c r="G30" s="233"/>
      <c r="H30" s="242"/>
      <c r="I30" s="259" t="s">
        <v>304</v>
      </c>
      <c r="J30" s="260">
        <v>2266300</v>
      </c>
      <c r="K30" s="238" t="s">
        <v>39</v>
      </c>
      <c r="L30" s="261">
        <v>1</v>
      </c>
      <c r="M30" s="238" t="s">
        <v>39</v>
      </c>
      <c r="N30" s="262">
        <v>10</v>
      </c>
      <c r="O30" s="263">
        <f t="shared" si="1"/>
        <v>22663000</v>
      </c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</row>
    <row r="31" spans="1:47" s="229" customFormat="1" ht="21.95" customHeight="1" x14ac:dyDescent="0.15">
      <c r="A31" s="218"/>
      <c r="B31" s="230"/>
      <c r="C31" s="230"/>
      <c r="D31" s="231"/>
      <c r="E31" s="232"/>
      <c r="F31" s="232"/>
      <c r="G31" s="233"/>
      <c r="H31" s="242"/>
      <c r="I31" s="259" t="s">
        <v>301</v>
      </c>
      <c r="J31" s="260">
        <v>1967900</v>
      </c>
      <c r="K31" s="238" t="s">
        <v>39</v>
      </c>
      <c r="L31" s="261">
        <v>1</v>
      </c>
      <c r="M31" s="238" t="s">
        <v>39</v>
      </c>
      <c r="N31" s="262">
        <v>5</v>
      </c>
      <c r="O31" s="263">
        <f t="shared" si="1"/>
        <v>9839500</v>
      </c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</row>
    <row r="32" spans="1:47" s="229" customFormat="1" ht="21.95" customHeight="1" x14ac:dyDescent="0.15">
      <c r="A32" s="218"/>
      <c r="B32" s="230"/>
      <c r="C32" s="230"/>
      <c r="D32" s="231"/>
      <c r="E32" s="232"/>
      <c r="F32" s="232"/>
      <c r="G32" s="233"/>
      <c r="H32" s="242"/>
      <c r="I32" s="259" t="s">
        <v>302</v>
      </c>
      <c r="J32" s="260">
        <v>2028200</v>
      </c>
      <c r="K32" s="238" t="s">
        <v>39</v>
      </c>
      <c r="L32" s="261">
        <v>1</v>
      </c>
      <c r="M32" s="238" t="s">
        <v>39</v>
      </c>
      <c r="N32" s="262">
        <v>7</v>
      </c>
      <c r="O32" s="263">
        <f t="shared" si="1"/>
        <v>14197400</v>
      </c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</row>
    <row r="33" spans="1:44" s="229" customFormat="1" ht="21.95" customHeight="1" x14ac:dyDescent="0.15">
      <c r="A33" s="218"/>
      <c r="B33" s="230"/>
      <c r="C33" s="230"/>
      <c r="D33" s="231"/>
      <c r="E33" s="232"/>
      <c r="F33" s="232"/>
      <c r="G33" s="233"/>
      <c r="H33" s="242"/>
      <c r="I33" s="259" t="s">
        <v>305</v>
      </c>
      <c r="J33" s="260">
        <v>1832100</v>
      </c>
      <c r="K33" s="238" t="s">
        <v>39</v>
      </c>
      <c r="L33" s="261">
        <v>1</v>
      </c>
      <c r="M33" s="238" t="s">
        <v>39</v>
      </c>
      <c r="N33" s="262">
        <v>1</v>
      </c>
      <c r="O33" s="263">
        <f t="shared" si="1"/>
        <v>1832100</v>
      </c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</row>
    <row r="34" spans="1:44" s="229" customFormat="1" ht="21.95" customHeight="1" x14ac:dyDescent="0.15">
      <c r="A34" s="218"/>
      <c r="B34" s="230"/>
      <c r="C34" s="230"/>
      <c r="D34" s="231"/>
      <c r="E34" s="232"/>
      <c r="F34" s="232"/>
      <c r="G34" s="233"/>
      <c r="H34" s="242"/>
      <c r="I34" s="259" t="s">
        <v>306</v>
      </c>
      <c r="J34" s="260">
        <v>1243210</v>
      </c>
      <c r="K34" s="238" t="s">
        <v>39</v>
      </c>
      <c r="L34" s="261">
        <v>1</v>
      </c>
      <c r="M34" s="238" t="s">
        <v>39</v>
      </c>
      <c r="N34" s="262">
        <v>1</v>
      </c>
      <c r="O34" s="263">
        <f t="shared" si="1"/>
        <v>1243210</v>
      </c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</row>
    <row r="35" spans="1:44" s="229" customFormat="1" ht="21.95" customHeight="1" x14ac:dyDescent="0.15">
      <c r="A35" s="218"/>
      <c r="B35" s="230"/>
      <c r="C35" s="230"/>
      <c r="D35" s="231"/>
      <c r="E35" s="232"/>
      <c r="F35" s="232"/>
      <c r="G35" s="233"/>
      <c r="H35" s="242"/>
      <c r="I35" s="259" t="s">
        <v>305</v>
      </c>
      <c r="J35" s="260">
        <v>1832100</v>
      </c>
      <c r="K35" s="238" t="s">
        <v>39</v>
      </c>
      <c r="L35" s="261">
        <v>1</v>
      </c>
      <c r="M35" s="238" t="s">
        <v>39</v>
      </c>
      <c r="N35" s="262">
        <v>9</v>
      </c>
      <c r="O35" s="263">
        <f t="shared" si="1"/>
        <v>16488900</v>
      </c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</row>
    <row r="36" spans="1:44" s="229" customFormat="1" ht="21.95" customHeight="1" x14ac:dyDescent="0.15">
      <c r="A36" s="218"/>
      <c r="B36" s="230"/>
      <c r="C36" s="230"/>
      <c r="D36" s="231"/>
      <c r="E36" s="232"/>
      <c r="F36" s="232"/>
      <c r="G36" s="233"/>
      <c r="H36" s="242"/>
      <c r="I36" s="259" t="s">
        <v>307</v>
      </c>
      <c r="J36" s="260">
        <v>1861300</v>
      </c>
      <c r="K36" s="238" t="s">
        <v>39</v>
      </c>
      <c r="L36" s="261">
        <v>1</v>
      </c>
      <c r="M36" s="238" t="s">
        <v>39</v>
      </c>
      <c r="N36" s="262">
        <v>3</v>
      </c>
      <c r="O36" s="263">
        <f t="shared" si="1"/>
        <v>5583900</v>
      </c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</row>
    <row r="37" spans="1:44" s="229" customFormat="1" ht="21.95" customHeight="1" x14ac:dyDescent="0.15">
      <c r="A37" s="218"/>
      <c r="B37" s="230"/>
      <c r="C37" s="230"/>
      <c r="D37" s="231"/>
      <c r="E37" s="232"/>
      <c r="F37" s="232"/>
      <c r="G37" s="233"/>
      <c r="H37" s="242"/>
      <c r="I37" s="259" t="s">
        <v>308</v>
      </c>
      <c r="J37" s="260">
        <v>531800</v>
      </c>
      <c r="K37" s="238" t="s">
        <v>39</v>
      </c>
      <c r="L37" s="261">
        <v>1</v>
      </c>
      <c r="M37" s="238" t="s">
        <v>39</v>
      </c>
      <c r="N37" s="262">
        <v>1</v>
      </c>
      <c r="O37" s="263">
        <f t="shared" si="1"/>
        <v>531800</v>
      </c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</row>
    <row r="38" spans="1:44" s="229" customFormat="1" ht="21.95" customHeight="1" x14ac:dyDescent="0.15">
      <c r="A38" s="218"/>
      <c r="B38" s="230"/>
      <c r="C38" s="230"/>
      <c r="D38" s="231"/>
      <c r="E38" s="232"/>
      <c r="F38" s="232"/>
      <c r="G38" s="233"/>
      <c r="H38" s="242"/>
      <c r="I38" s="259" t="s">
        <v>307</v>
      </c>
      <c r="J38" s="260">
        <v>1861300</v>
      </c>
      <c r="K38" s="238" t="s">
        <v>39</v>
      </c>
      <c r="L38" s="261">
        <v>1</v>
      </c>
      <c r="M38" s="238" t="s">
        <v>39</v>
      </c>
      <c r="N38" s="262">
        <v>1</v>
      </c>
      <c r="O38" s="263">
        <f t="shared" si="1"/>
        <v>1861300</v>
      </c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</row>
    <row r="39" spans="1:44" s="229" customFormat="1" ht="21.95" customHeight="1" x14ac:dyDescent="0.15">
      <c r="A39" s="218"/>
      <c r="B39" s="230"/>
      <c r="C39" s="230"/>
      <c r="D39" s="231"/>
      <c r="E39" s="232"/>
      <c r="F39" s="232"/>
      <c r="G39" s="233"/>
      <c r="H39" s="242"/>
      <c r="I39" s="259" t="s">
        <v>309</v>
      </c>
      <c r="J39" s="260">
        <v>1910400</v>
      </c>
      <c r="K39" s="238" t="s">
        <v>39</v>
      </c>
      <c r="L39" s="261">
        <v>1</v>
      </c>
      <c r="M39" s="238" t="s">
        <v>39</v>
      </c>
      <c r="N39" s="262">
        <v>9</v>
      </c>
      <c r="O39" s="263">
        <f t="shared" si="1"/>
        <v>17193600</v>
      </c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</row>
    <row r="40" spans="1:44" s="229" customFormat="1" ht="21.95" customHeight="1" x14ac:dyDescent="0.15">
      <c r="A40" s="218"/>
      <c r="B40" s="230"/>
      <c r="C40" s="230"/>
      <c r="D40" s="231"/>
      <c r="E40" s="232"/>
      <c r="F40" s="232"/>
      <c r="G40" s="233"/>
      <c r="H40" s="242"/>
      <c r="I40" s="259" t="s">
        <v>310</v>
      </c>
      <c r="J40" s="260">
        <v>2088600</v>
      </c>
      <c r="K40" s="238" t="s">
        <v>39</v>
      </c>
      <c r="L40" s="261">
        <v>1</v>
      </c>
      <c r="M40" s="238" t="s">
        <v>39</v>
      </c>
      <c r="N40" s="262">
        <v>10</v>
      </c>
      <c r="O40" s="263">
        <f>J40*L40*N40</f>
        <v>20886000</v>
      </c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</row>
    <row r="41" spans="1:44" s="229" customFormat="1" ht="21.95" customHeight="1" x14ac:dyDescent="0.15">
      <c r="A41" s="218"/>
      <c r="B41" s="230"/>
      <c r="C41" s="230"/>
      <c r="D41" s="231"/>
      <c r="E41" s="232"/>
      <c r="F41" s="232"/>
      <c r="G41" s="233"/>
      <c r="H41" s="242"/>
      <c r="I41" s="259" t="s">
        <v>311</v>
      </c>
      <c r="J41" s="260">
        <v>1781800</v>
      </c>
      <c r="K41" s="238" t="s">
        <v>39</v>
      </c>
      <c r="L41" s="261">
        <v>1</v>
      </c>
      <c r="M41" s="238" t="s">
        <v>39</v>
      </c>
      <c r="N41" s="262">
        <v>2</v>
      </c>
      <c r="O41" s="263">
        <f t="shared" si="1"/>
        <v>3563600</v>
      </c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</row>
    <row r="42" spans="1:44" s="229" customFormat="1" ht="21.95" customHeight="1" x14ac:dyDescent="0.15">
      <c r="A42" s="218"/>
      <c r="B42" s="230"/>
      <c r="C42" s="230"/>
      <c r="D42" s="231"/>
      <c r="E42" s="232"/>
      <c r="F42" s="232"/>
      <c r="G42" s="233"/>
      <c r="H42" s="242"/>
      <c r="I42" s="259" t="s">
        <v>224</v>
      </c>
      <c r="J42" s="260">
        <v>1823700</v>
      </c>
      <c r="K42" s="238" t="s">
        <v>39</v>
      </c>
      <c r="L42" s="261">
        <v>1</v>
      </c>
      <c r="M42" s="238" t="s">
        <v>39</v>
      </c>
      <c r="N42" s="262">
        <v>10</v>
      </c>
      <c r="O42" s="263">
        <f t="shared" si="1"/>
        <v>18237000</v>
      </c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</row>
    <row r="43" spans="1:44" s="229" customFormat="1" ht="21.95" customHeight="1" x14ac:dyDescent="0.15">
      <c r="A43" s="218"/>
      <c r="B43" s="230"/>
      <c r="C43" s="230"/>
      <c r="D43" s="231"/>
      <c r="E43" s="232"/>
      <c r="F43" s="232"/>
      <c r="G43" s="233"/>
      <c r="H43" s="242"/>
      <c r="I43" s="259" t="s">
        <v>131</v>
      </c>
      <c r="J43" s="260">
        <v>2220600</v>
      </c>
      <c r="K43" s="238" t="s">
        <v>39</v>
      </c>
      <c r="L43" s="261">
        <v>1</v>
      </c>
      <c r="M43" s="238" t="s">
        <v>39</v>
      </c>
      <c r="N43" s="262">
        <v>10</v>
      </c>
      <c r="O43" s="263">
        <f>J43*L43*N43</f>
        <v>22206000</v>
      </c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</row>
    <row r="44" spans="1:44" s="229" customFormat="1" ht="21.95" customHeight="1" x14ac:dyDescent="0.15">
      <c r="A44" s="218"/>
      <c r="B44" s="230"/>
      <c r="C44" s="230"/>
      <c r="D44" s="231"/>
      <c r="E44" s="232"/>
      <c r="F44" s="232"/>
      <c r="G44" s="233"/>
      <c r="H44" s="242"/>
      <c r="I44" s="259" t="s">
        <v>225</v>
      </c>
      <c r="J44" s="260">
        <v>2276900</v>
      </c>
      <c r="K44" s="238" t="s">
        <v>39</v>
      </c>
      <c r="L44" s="261">
        <v>1</v>
      </c>
      <c r="M44" s="238" t="s">
        <v>39</v>
      </c>
      <c r="N44" s="262">
        <v>2</v>
      </c>
      <c r="O44" s="263">
        <f>J44*L44*N44</f>
        <v>4553800</v>
      </c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</row>
    <row r="45" spans="1:44" s="229" customFormat="1" ht="21.95" customHeight="1" x14ac:dyDescent="0.15">
      <c r="A45" s="218"/>
      <c r="B45" s="230"/>
      <c r="C45" s="230"/>
      <c r="D45" s="231"/>
      <c r="E45" s="232"/>
      <c r="F45" s="232"/>
      <c r="G45" s="233"/>
      <c r="H45" s="242"/>
      <c r="I45" s="259" t="s">
        <v>132</v>
      </c>
      <c r="J45" s="260">
        <v>2716600</v>
      </c>
      <c r="K45" s="238" t="s">
        <v>39</v>
      </c>
      <c r="L45" s="261">
        <v>1</v>
      </c>
      <c r="M45" s="238" t="s">
        <v>39</v>
      </c>
      <c r="N45" s="262">
        <v>9</v>
      </c>
      <c r="O45" s="263">
        <f t="shared" si="1"/>
        <v>24449400</v>
      </c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228"/>
      <c r="AQ45" s="228"/>
      <c r="AR45" s="228"/>
    </row>
    <row r="46" spans="1:44" s="229" customFormat="1" ht="21.95" customHeight="1" x14ac:dyDescent="0.15">
      <c r="A46" s="218"/>
      <c r="B46" s="230"/>
      <c r="C46" s="230"/>
      <c r="D46" s="231"/>
      <c r="E46" s="232"/>
      <c r="F46" s="232"/>
      <c r="G46" s="233"/>
      <c r="H46" s="242"/>
      <c r="I46" s="259" t="s">
        <v>312</v>
      </c>
      <c r="J46" s="260">
        <v>2776100</v>
      </c>
      <c r="K46" s="238" t="s">
        <v>39</v>
      </c>
      <c r="L46" s="261">
        <v>1</v>
      </c>
      <c r="M46" s="238" t="s">
        <v>39</v>
      </c>
      <c r="N46" s="262">
        <v>3</v>
      </c>
      <c r="O46" s="263">
        <f t="shared" si="1"/>
        <v>8328300</v>
      </c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  <c r="AQ46" s="228"/>
      <c r="AR46" s="228"/>
    </row>
    <row r="47" spans="1:44" s="229" customFormat="1" ht="21.95" customHeight="1" x14ac:dyDescent="0.15">
      <c r="A47" s="218"/>
      <c r="B47" s="230"/>
      <c r="C47" s="230"/>
      <c r="D47" s="231"/>
      <c r="E47" s="232"/>
      <c r="F47" s="232"/>
      <c r="G47" s="233"/>
      <c r="H47" s="242"/>
      <c r="I47" s="259" t="s">
        <v>313</v>
      </c>
      <c r="J47" s="260">
        <v>2126000</v>
      </c>
      <c r="K47" s="238" t="s">
        <v>39</v>
      </c>
      <c r="L47" s="261">
        <v>1</v>
      </c>
      <c r="M47" s="238" t="s">
        <v>39</v>
      </c>
      <c r="N47" s="262">
        <v>12</v>
      </c>
      <c r="O47" s="263">
        <f>J47*L47*N47</f>
        <v>25512000</v>
      </c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Q47" s="228"/>
      <c r="AR47" s="228"/>
    </row>
    <row r="48" spans="1:44" s="229" customFormat="1" ht="21.95" customHeight="1" thickBot="1" x14ac:dyDescent="0.2">
      <c r="A48" s="506"/>
      <c r="B48" s="507"/>
      <c r="C48" s="507"/>
      <c r="D48" s="651"/>
      <c r="E48" s="652"/>
      <c r="F48" s="652"/>
      <c r="G48" s="495"/>
      <c r="H48" s="746">
        <v>2</v>
      </c>
      <c r="I48" s="747" t="s">
        <v>314</v>
      </c>
      <c r="J48" s="790"/>
      <c r="K48" s="752"/>
      <c r="L48" s="791"/>
      <c r="M48" s="752"/>
      <c r="N48" s="792"/>
      <c r="O48" s="295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8"/>
      <c r="AR48" s="228"/>
    </row>
    <row r="49" spans="1:44" s="229" customFormat="1" ht="21.95" customHeight="1" x14ac:dyDescent="0.15">
      <c r="A49" s="218"/>
      <c r="B49" s="230"/>
      <c r="C49" s="230"/>
      <c r="D49" s="231"/>
      <c r="E49" s="232"/>
      <c r="F49" s="232"/>
      <c r="G49" s="233"/>
      <c r="H49" s="242"/>
      <c r="I49" s="264" t="s">
        <v>315</v>
      </c>
      <c r="J49" s="260">
        <v>31012900</v>
      </c>
      <c r="K49" s="238" t="s">
        <v>39</v>
      </c>
      <c r="L49" s="265">
        <v>0.6</v>
      </c>
      <c r="M49" s="238"/>
      <c r="N49" s="266"/>
      <c r="O49" s="244">
        <f>J49*60%</f>
        <v>18607740</v>
      </c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</row>
    <row r="50" spans="1:44" s="229" customFormat="1" ht="21.95" customHeight="1" x14ac:dyDescent="0.15">
      <c r="A50" s="218"/>
      <c r="B50" s="230"/>
      <c r="C50" s="230"/>
      <c r="D50" s="231"/>
      <c r="E50" s="232"/>
      <c r="F50" s="232"/>
      <c r="G50" s="233"/>
      <c r="H50" s="242"/>
      <c r="I50" s="264" t="s">
        <v>316</v>
      </c>
      <c r="J50" s="260">
        <v>30989400</v>
      </c>
      <c r="K50" s="238" t="s">
        <v>317</v>
      </c>
      <c r="L50" s="265">
        <v>0.6</v>
      </c>
      <c r="M50" s="238"/>
      <c r="N50" s="266"/>
      <c r="O50" s="244">
        <f>J50*60%</f>
        <v>18593640</v>
      </c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</row>
    <row r="51" spans="1:44" s="229" customFormat="1" ht="21.95" customHeight="1" x14ac:dyDescent="0.15">
      <c r="A51" s="218"/>
      <c r="B51" s="230"/>
      <c r="C51" s="230"/>
      <c r="D51" s="231"/>
      <c r="E51" s="232"/>
      <c r="F51" s="232"/>
      <c r="G51" s="233"/>
      <c r="H51" s="242">
        <v>3</v>
      </c>
      <c r="I51" s="256" t="s">
        <v>318</v>
      </c>
      <c r="J51" s="257"/>
      <c r="K51" s="238"/>
      <c r="L51" s="246"/>
      <c r="M51" s="238"/>
      <c r="N51" s="258"/>
      <c r="O51" s="244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</row>
    <row r="52" spans="1:44" s="229" customFormat="1" ht="21.95" customHeight="1" x14ac:dyDescent="0.15">
      <c r="A52" s="218"/>
      <c r="B52" s="230"/>
      <c r="C52" s="230"/>
      <c r="D52" s="231"/>
      <c r="E52" s="232"/>
      <c r="F52" s="232"/>
      <c r="G52" s="233"/>
      <c r="H52" s="242"/>
      <c r="I52" s="256" t="s">
        <v>319</v>
      </c>
      <c r="J52" s="267">
        <v>46101900</v>
      </c>
      <c r="K52" s="268"/>
      <c r="L52" s="268" t="s">
        <v>320</v>
      </c>
      <c r="M52" s="268"/>
      <c r="N52" s="268" t="s">
        <v>321</v>
      </c>
      <c r="O52" s="269">
        <f>ROUNDDOWN((J52/209*1.5*20),-1)</f>
        <v>6617490</v>
      </c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</row>
    <row r="53" spans="1:44" s="229" customFormat="1" ht="21.95" customHeight="1" x14ac:dyDescent="0.15">
      <c r="A53" s="218"/>
      <c r="B53" s="230"/>
      <c r="C53" s="230"/>
      <c r="D53" s="231"/>
      <c r="E53" s="232"/>
      <c r="F53" s="232"/>
      <c r="G53" s="233"/>
      <c r="H53" s="242"/>
      <c r="I53" s="256" t="s">
        <v>322</v>
      </c>
      <c r="J53" s="267">
        <v>37768200</v>
      </c>
      <c r="K53" s="268"/>
      <c r="L53" s="268" t="s">
        <v>320</v>
      </c>
      <c r="M53" s="268"/>
      <c r="N53" s="268" t="s">
        <v>323</v>
      </c>
      <c r="O53" s="269">
        <f>ROUNDDOWN((J53/209*1.5*40),-1)</f>
        <v>10842540</v>
      </c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</row>
    <row r="54" spans="1:44" s="229" customFormat="1" ht="21.95" customHeight="1" x14ac:dyDescent="0.15">
      <c r="A54" s="218"/>
      <c r="B54" s="230"/>
      <c r="C54" s="230"/>
      <c r="D54" s="231"/>
      <c r="E54" s="232"/>
      <c r="F54" s="232"/>
      <c r="G54" s="233"/>
      <c r="H54" s="242"/>
      <c r="I54" s="256" t="s">
        <v>324</v>
      </c>
      <c r="J54" s="267">
        <v>36529800</v>
      </c>
      <c r="K54" s="268"/>
      <c r="L54" s="268" t="s">
        <v>320</v>
      </c>
      <c r="M54" s="268"/>
      <c r="N54" s="268" t="s">
        <v>321</v>
      </c>
      <c r="O54" s="269">
        <f>ROUNDDOWN((J54/209*1.5*20),-1)</f>
        <v>5243510</v>
      </c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</row>
    <row r="55" spans="1:44" s="229" customFormat="1" ht="21.95" customHeight="1" x14ac:dyDescent="0.15">
      <c r="A55" s="218"/>
      <c r="B55" s="230"/>
      <c r="C55" s="230"/>
      <c r="D55" s="231"/>
      <c r="E55" s="232"/>
      <c r="F55" s="232"/>
      <c r="G55" s="233"/>
      <c r="H55" s="242"/>
      <c r="I55" s="256" t="s">
        <v>325</v>
      </c>
      <c r="J55" s="267">
        <v>4888000</v>
      </c>
      <c r="K55" s="268"/>
      <c r="L55" s="268" t="s">
        <v>320</v>
      </c>
      <c r="M55" s="268"/>
      <c r="N55" s="268" t="s">
        <v>323</v>
      </c>
      <c r="O55" s="269">
        <f t="shared" ref="O55:O58" si="2">ROUNDDOWN((J55/209*1.5*40),-1)</f>
        <v>1403250</v>
      </c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</row>
    <row r="56" spans="1:44" s="229" customFormat="1" ht="21.95" customHeight="1" x14ac:dyDescent="0.15">
      <c r="A56" s="218"/>
      <c r="B56" s="230"/>
      <c r="C56" s="230"/>
      <c r="D56" s="231"/>
      <c r="E56" s="232"/>
      <c r="F56" s="232"/>
      <c r="G56" s="233"/>
      <c r="H56" s="242"/>
      <c r="I56" s="256" t="s">
        <v>326</v>
      </c>
      <c r="J56" s="267">
        <v>23735400</v>
      </c>
      <c r="K56" s="268"/>
      <c r="L56" s="268" t="s">
        <v>327</v>
      </c>
      <c r="M56" s="268"/>
      <c r="N56" s="268" t="s">
        <v>328</v>
      </c>
      <c r="O56" s="269">
        <f t="shared" si="2"/>
        <v>6813990</v>
      </c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228"/>
      <c r="AN56" s="228"/>
      <c r="AO56" s="228"/>
      <c r="AP56" s="228"/>
      <c r="AQ56" s="228"/>
      <c r="AR56" s="228"/>
    </row>
    <row r="57" spans="1:44" s="229" customFormat="1" ht="21.95" customHeight="1" x14ac:dyDescent="0.15">
      <c r="A57" s="218"/>
      <c r="B57" s="230"/>
      <c r="C57" s="230"/>
      <c r="D57" s="231"/>
      <c r="E57" s="232"/>
      <c r="F57" s="232"/>
      <c r="G57" s="233"/>
      <c r="H57" s="242"/>
      <c r="I57" s="256" t="s">
        <v>326</v>
      </c>
      <c r="J57" s="267">
        <v>27014000</v>
      </c>
      <c r="K57" s="268"/>
      <c r="L57" s="268" t="s">
        <v>327</v>
      </c>
      <c r="M57" s="268"/>
      <c r="N57" s="268" t="s">
        <v>328</v>
      </c>
      <c r="O57" s="269">
        <f t="shared" si="2"/>
        <v>7755210</v>
      </c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228"/>
      <c r="AN57" s="228"/>
      <c r="AO57" s="228"/>
      <c r="AP57" s="228"/>
      <c r="AQ57" s="228"/>
      <c r="AR57" s="228"/>
    </row>
    <row r="58" spans="1:44" s="229" customFormat="1" ht="21.95" customHeight="1" x14ac:dyDescent="0.15">
      <c r="A58" s="218"/>
      <c r="B58" s="230"/>
      <c r="C58" s="230"/>
      <c r="D58" s="231"/>
      <c r="E58" s="232"/>
      <c r="F58" s="232"/>
      <c r="G58" s="233"/>
      <c r="H58" s="242"/>
      <c r="I58" s="256" t="s">
        <v>326</v>
      </c>
      <c r="J58" s="267">
        <v>24036900</v>
      </c>
      <c r="K58" s="268"/>
      <c r="L58" s="268" t="s">
        <v>327</v>
      </c>
      <c r="M58" s="268"/>
      <c r="N58" s="268" t="s">
        <v>328</v>
      </c>
      <c r="O58" s="269">
        <f t="shared" si="2"/>
        <v>6900540</v>
      </c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</row>
    <row r="59" spans="1:44" s="229" customFormat="1" ht="21.95" customHeight="1" x14ac:dyDescent="0.15">
      <c r="A59" s="218"/>
      <c r="B59" s="230"/>
      <c r="C59" s="230"/>
      <c r="D59" s="231"/>
      <c r="E59" s="232"/>
      <c r="F59" s="232"/>
      <c r="G59" s="233"/>
      <c r="H59" s="242"/>
      <c r="I59" s="256" t="s">
        <v>326</v>
      </c>
      <c r="J59" s="267">
        <v>3075310</v>
      </c>
      <c r="K59" s="268"/>
      <c r="L59" s="268" t="s">
        <v>327</v>
      </c>
      <c r="M59" s="268"/>
      <c r="N59" s="268" t="s">
        <v>328</v>
      </c>
      <c r="O59" s="269">
        <f>ROUNDDOWN((J59/209*1.5*40),-1)</f>
        <v>882860</v>
      </c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228"/>
      <c r="AN59" s="228"/>
      <c r="AO59" s="228"/>
      <c r="AP59" s="228"/>
      <c r="AQ59" s="228"/>
      <c r="AR59" s="228"/>
    </row>
    <row r="60" spans="1:44" s="229" customFormat="1" ht="21.95" customHeight="1" x14ac:dyDescent="0.15">
      <c r="A60" s="218"/>
      <c r="B60" s="230"/>
      <c r="C60" s="230"/>
      <c r="D60" s="231"/>
      <c r="E60" s="232"/>
      <c r="F60" s="232"/>
      <c r="G60" s="233"/>
      <c r="H60" s="242"/>
      <c r="I60" s="256" t="s">
        <v>326</v>
      </c>
      <c r="J60" s="267">
        <v>22072800</v>
      </c>
      <c r="K60" s="268"/>
      <c r="L60" s="268" t="s">
        <v>327</v>
      </c>
      <c r="M60" s="268"/>
      <c r="N60" s="268" t="s">
        <v>328</v>
      </c>
      <c r="O60" s="269">
        <f>ROUNDDOWN((J60/209*1.5*40),-1)</f>
        <v>6336680</v>
      </c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228"/>
      <c r="AN60" s="228"/>
      <c r="AO60" s="228"/>
      <c r="AP60" s="228"/>
      <c r="AQ60" s="228"/>
      <c r="AR60" s="228"/>
    </row>
    <row r="61" spans="1:44" s="229" customFormat="1" ht="21.95" customHeight="1" x14ac:dyDescent="0.15">
      <c r="A61" s="218"/>
      <c r="B61" s="230"/>
      <c r="C61" s="230"/>
      <c r="D61" s="231"/>
      <c r="E61" s="232"/>
      <c r="F61" s="232"/>
      <c r="G61" s="233"/>
      <c r="H61" s="242"/>
      <c r="I61" s="256" t="s">
        <v>326</v>
      </c>
      <c r="J61" s="267">
        <v>19586700</v>
      </c>
      <c r="K61" s="268"/>
      <c r="L61" s="268" t="s">
        <v>327</v>
      </c>
      <c r="M61" s="268"/>
      <c r="N61" s="268" t="s">
        <v>328</v>
      </c>
      <c r="O61" s="269">
        <f>ROUNDDOWN((J61/209*1.5*40),-1)</f>
        <v>5622970</v>
      </c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8"/>
      <c r="AK61" s="228"/>
      <c r="AL61" s="228"/>
      <c r="AM61" s="228"/>
      <c r="AN61" s="228"/>
      <c r="AO61" s="228"/>
      <c r="AP61" s="228"/>
      <c r="AQ61" s="228"/>
      <c r="AR61" s="228"/>
    </row>
    <row r="62" spans="1:44" s="229" customFormat="1" ht="21.95" customHeight="1" x14ac:dyDescent="0.15">
      <c r="A62" s="218"/>
      <c r="B62" s="230"/>
      <c r="C62" s="230"/>
      <c r="D62" s="231"/>
      <c r="E62" s="232"/>
      <c r="F62" s="232"/>
      <c r="G62" s="233"/>
      <c r="H62" s="242"/>
      <c r="I62" s="256" t="s">
        <v>326</v>
      </c>
      <c r="J62" s="267">
        <v>20886000</v>
      </c>
      <c r="K62" s="268"/>
      <c r="L62" s="268" t="s">
        <v>327</v>
      </c>
      <c r="M62" s="268"/>
      <c r="N62" s="268" t="s">
        <v>328</v>
      </c>
      <c r="O62" s="269">
        <f>ROUNDDOWN((J62/209*1.5*40),-1)</f>
        <v>5995980</v>
      </c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8"/>
      <c r="AA62" s="228"/>
      <c r="AB62" s="228"/>
      <c r="AC62" s="228"/>
      <c r="AD62" s="228"/>
      <c r="AE62" s="228"/>
      <c r="AF62" s="228"/>
      <c r="AG62" s="228"/>
      <c r="AH62" s="228"/>
      <c r="AI62" s="228"/>
      <c r="AJ62" s="228"/>
      <c r="AK62" s="228"/>
      <c r="AL62" s="228"/>
      <c r="AM62" s="228"/>
      <c r="AN62" s="228"/>
      <c r="AO62" s="228"/>
      <c r="AP62" s="228"/>
      <c r="AQ62" s="228"/>
      <c r="AR62" s="228"/>
    </row>
    <row r="63" spans="1:44" s="229" customFormat="1" ht="21.95" customHeight="1" x14ac:dyDescent="0.15">
      <c r="A63" s="218"/>
      <c r="B63" s="230"/>
      <c r="C63" s="230"/>
      <c r="D63" s="231"/>
      <c r="E63" s="232"/>
      <c r="F63" s="232"/>
      <c r="G63" s="233"/>
      <c r="H63" s="242"/>
      <c r="I63" s="256" t="s">
        <v>329</v>
      </c>
      <c r="J63" s="267">
        <v>21800600</v>
      </c>
      <c r="K63" s="268"/>
      <c r="L63" s="268" t="s">
        <v>327</v>
      </c>
      <c r="M63" s="268"/>
      <c r="N63" s="268" t="s">
        <v>330</v>
      </c>
      <c r="O63" s="269">
        <f>ROUNDDOWN((J63/209*1.5*20),-1)</f>
        <v>3129270</v>
      </c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8"/>
      <c r="AA63" s="228"/>
      <c r="AB63" s="228"/>
      <c r="AC63" s="228"/>
      <c r="AD63" s="228"/>
      <c r="AE63" s="228"/>
      <c r="AF63" s="228"/>
      <c r="AG63" s="228"/>
      <c r="AH63" s="228"/>
      <c r="AI63" s="228"/>
      <c r="AJ63" s="228"/>
      <c r="AK63" s="228"/>
      <c r="AL63" s="228"/>
      <c r="AM63" s="228"/>
      <c r="AN63" s="228"/>
      <c r="AO63" s="228"/>
      <c r="AP63" s="228"/>
      <c r="AQ63" s="228"/>
      <c r="AR63" s="228"/>
    </row>
    <row r="64" spans="1:44" s="229" customFormat="1" ht="21.95" customHeight="1" x14ac:dyDescent="0.15">
      <c r="A64" s="218"/>
      <c r="B64" s="230"/>
      <c r="C64" s="230"/>
      <c r="D64" s="231"/>
      <c r="E64" s="232"/>
      <c r="F64" s="232"/>
      <c r="G64" s="233"/>
      <c r="H64" s="242"/>
      <c r="I64" s="256" t="s">
        <v>331</v>
      </c>
      <c r="J64" s="267">
        <v>26759800</v>
      </c>
      <c r="K64" s="268"/>
      <c r="L64" s="268" t="s">
        <v>327</v>
      </c>
      <c r="M64" s="268"/>
      <c r="N64" s="268" t="s">
        <v>328</v>
      </c>
      <c r="O64" s="269">
        <f>ROUNDDOWN((J64/209*1.5*40),-1)</f>
        <v>7682230</v>
      </c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</row>
    <row r="65" spans="1:44" s="229" customFormat="1" ht="21.95" customHeight="1" x14ac:dyDescent="0.15">
      <c r="A65" s="218"/>
      <c r="B65" s="230"/>
      <c r="C65" s="230"/>
      <c r="D65" s="231"/>
      <c r="E65" s="232"/>
      <c r="F65" s="232"/>
      <c r="G65" s="233"/>
      <c r="H65" s="242"/>
      <c r="I65" s="256" t="s">
        <v>332</v>
      </c>
      <c r="J65" s="267">
        <v>32777700</v>
      </c>
      <c r="K65" s="268"/>
      <c r="L65" s="268" t="s">
        <v>327</v>
      </c>
      <c r="M65" s="268"/>
      <c r="N65" s="268" t="s">
        <v>330</v>
      </c>
      <c r="O65" s="269">
        <f>ROUNDDOWN((J65/209*1.5*20),-1)</f>
        <v>4704930</v>
      </c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</row>
    <row r="66" spans="1:44" s="229" customFormat="1" ht="21.95" customHeight="1" x14ac:dyDescent="0.15">
      <c r="A66" s="218"/>
      <c r="B66" s="230"/>
      <c r="C66" s="230"/>
      <c r="D66" s="231"/>
      <c r="E66" s="232"/>
      <c r="F66" s="232"/>
      <c r="G66" s="233"/>
      <c r="H66" s="242">
        <v>4</v>
      </c>
      <c r="I66" s="259" t="s">
        <v>333</v>
      </c>
      <c r="J66" s="422" t="s">
        <v>334</v>
      </c>
      <c r="K66" s="415"/>
      <c r="L66" s="415"/>
      <c r="M66" s="415"/>
      <c r="N66" s="415"/>
      <c r="O66" s="270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  <c r="AM66" s="228"/>
      <c r="AN66" s="228"/>
      <c r="AO66" s="228"/>
      <c r="AP66" s="228"/>
      <c r="AQ66" s="228"/>
      <c r="AR66" s="228"/>
    </row>
    <row r="67" spans="1:44" s="229" customFormat="1" ht="21.95" customHeight="1" x14ac:dyDescent="0.15">
      <c r="A67" s="218"/>
      <c r="B67" s="230"/>
      <c r="C67" s="230"/>
      <c r="D67" s="231"/>
      <c r="E67" s="232"/>
      <c r="F67" s="232"/>
      <c r="G67" s="233"/>
      <c r="H67" s="242"/>
      <c r="I67" s="259" t="s">
        <v>335</v>
      </c>
      <c r="J67" s="260">
        <v>120000</v>
      </c>
      <c r="K67" s="238" t="s">
        <v>39</v>
      </c>
      <c r="L67" s="271">
        <v>1</v>
      </c>
      <c r="M67" s="238" t="s">
        <v>39</v>
      </c>
      <c r="N67" s="266">
        <v>12</v>
      </c>
      <c r="O67" s="244">
        <f t="shared" ref="O67:O76" si="3">J67*L67*N67</f>
        <v>1440000</v>
      </c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  <c r="AK67" s="228"/>
      <c r="AL67" s="228"/>
      <c r="AM67" s="228"/>
      <c r="AN67" s="228"/>
      <c r="AO67" s="228"/>
      <c r="AP67" s="228"/>
      <c r="AQ67" s="228"/>
      <c r="AR67" s="228"/>
    </row>
    <row r="68" spans="1:44" s="229" customFormat="1" ht="21.95" customHeight="1" x14ac:dyDescent="0.15">
      <c r="A68" s="218"/>
      <c r="B68" s="230"/>
      <c r="C68" s="230"/>
      <c r="D68" s="231"/>
      <c r="E68" s="232"/>
      <c r="F68" s="232"/>
      <c r="G68" s="233"/>
      <c r="H68" s="242"/>
      <c r="I68" s="259" t="s">
        <v>336</v>
      </c>
      <c r="J68" s="260">
        <v>120000</v>
      </c>
      <c r="K68" s="238" t="s">
        <v>39</v>
      </c>
      <c r="L68" s="271">
        <v>1</v>
      </c>
      <c r="M68" s="238" t="s">
        <v>39</v>
      </c>
      <c r="N68" s="266">
        <v>12</v>
      </c>
      <c r="O68" s="244">
        <f t="shared" si="3"/>
        <v>1440000</v>
      </c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8"/>
      <c r="AA68" s="228"/>
      <c r="AB68" s="228"/>
      <c r="AC68" s="228"/>
      <c r="AD68" s="228"/>
      <c r="AE68" s="228"/>
      <c r="AF68" s="228"/>
      <c r="AG68" s="228"/>
      <c r="AH68" s="228"/>
      <c r="AI68" s="228"/>
      <c r="AJ68" s="228"/>
      <c r="AK68" s="228"/>
      <c r="AL68" s="228"/>
      <c r="AM68" s="228"/>
      <c r="AN68" s="228"/>
      <c r="AO68" s="228"/>
      <c r="AP68" s="228"/>
      <c r="AQ68" s="228"/>
      <c r="AR68" s="228"/>
    </row>
    <row r="69" spans="1:44" s="229" customFormat="1" ht="21.95" customHeight="1" x14ac:dyDescent="0.15">
      <c r="A69" s="218"/>
      <c r="B69" s="230"/>
      <c r="C69" s="230"/>
      <c r="D69" s="231"/>
      <c r="E69" s="232"/>
      <c r="F69" s="232"/>
      <c r="G69" s="233"/>
      <c r="H69" s="242"/>
      <c r="I69" s="259" t="s">
        <v>326</v>
      </c>
      <c r="J69" s="260">
        <v>40000</v>
      </c>
      <c r="K69" s="238" t="s">
        <v>39</v>
      </c>
      <c r="L69" s="271">
        <v>1</v>
      </c>
      <c r="M69" s="238" t="s">
        <v>39</v>
      </c>
      <c r="N69" s="266">
        <v>2</v>
      </c>
      <c r="O69" s="244">
        <f t="shared" si="3"/>
        <v>80000</v>
      </c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8"/>
      <c r="AA69" s="228"/>
      <c r="AB69" s="228"/>
      <c r="AC69" s="228"/>
      <c r="AD69" s="228"/>
      <c r="AE69" s="228"/>
      <c r="AF69" s="228"/>
      <c r="AG69" s="228"/>
      <c r="AH69" s="228"/>
      <c r="AI69" s="228"/>
      <c r="AJ69" s="228"/>
      <c r="AK69" s="228"/>
      <c r="AL69" s="228"/>
      <c r="AM69" s="228"/>
      <c r="AN69" s="228"/>
      <c r="AO69" s="228"/>
      <c r="AP69" s="228"/>
      <c r="AQ69" s="228"/>
      <c r="AR69" s="228"/>
    </row>
    <row r="70" spans="1:44" s="229" customFormat="1" ht="21.95" customHeight="1" x14ac:dyDescent="0.15">
      <c r="A70" s="218"/>
      <c r="B70" s="230"/>
      <c r="C70" s="230"/>
      <c r="D70" s="231"/>
      <c r="E70" s="232"/>
      <c r="F70" s="232"/>
      <c r="G70" s="233"/>
      <c r="H70" s="242"/>
      <c r="I70" s="259" t="s">
        <v>326</v>
      </c>
      <c r="J70" s="260">
        <v>20000</v>
      </c>
      <c r="K70" s="238" t="s">
        <v>39</v>
      </c>
      <c r="L70" s="271">
        <v>1</v>
      </c>
      <c r="M70" s="238" t="s">
        <v>39</v>
      </c>
      <c r="N70" s="266">
        <v>1</v>
      </c>
      <c r="O70" s="244">
        <f t="shared" si="3"/>
        <v>20000</v>
      </c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8"/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8"/>
      <c r="AL70" s="228"/>
      <c r="AM70" s="228"/>
      <c r="AN70" s="228"/>
      <c r="AO70" s="228"/>
      <c r="AP70" s="228"/>
      <c r="AQ70" s="228"/>
      <c r="AR70" s="228"/>
    </row>
    <row r="71" spans="1:44" s="229" customFormat="1" ht="21.95" customHeight="1" thickBot="1" x14ac:dyDescent="0.2">
      <c r="A71" s="506"/>
      <c r="B71" s="507"/>
      <c r="C71" s="507"/>
      <c r="D71" s="651"/>
      <c r="E71" s="652"/>
      <c r="F71" s="652"/>
      <c r="G71" s="495"/>
      <c r="H71" s="746"/>
      <c r="I71" s="675" t="s">
        <v>337</v>
      </c>
      <c r="J71" s="751">
        <v>13570</v>
      </c>
      <c r="K71" s="752" t="s">
        <v>39</v>
      </c>
      <c r="L71" s="793">
        <v>1</v>
      </c>
      <c r="M71" s="752" t="s">
        <v>39</v>
      </c>
      <c r="N71" s="794">
        <v>1</v>
      </c>
      <c r="O71" s="295">
        <f t="shared" si="3"/>
        <v>13570</v>
      </c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8"/>
      <c r="AA71" s="228"/>
      <c r="AB71" s="228"/>
      <c r="AC71" s="228"/>
      <c r="AD71" s="228"/>
      <c r="AE71" s="228"/>
      <c r="AF71" s="228"/>
      <c r="AG71" s="228"/>
      <c r="AH71" s="228"/>
      <c r="AI71" s="228"/>
      <c r="AJ71" s="228"/>
      <c r="AK71" s="228"/>
      <c r="AL71" s="228"/>
      <c r="AM71" s="228"/>
      <c r="AN71" s="228"/>
      <c r="AO71" s="228"/>
      <c r="AP71" s="228"/>
      <c r="AQ71" s="228"/>
      <c r="AR71" s="228"/>
    </row>
    <row r="72" spans="1:44" s="229" customFormat="1" ht="21.95" customHeight="1" x14ac:dyDescent="0.15">
      <c r="A72" s="218"/>
      <c r="B72" s="230"/>
      <c r="C72" s="230"/>
      <c r="D72" s="231"/>
      <c r="E72" s="232"/>
      <c r="F72" s="232"/>
      <c r="G72" s="233"/>
      <c r="H72" s="242"/>
      <c r="I72" s="259" t="s">
        <v>338</v>
      </c>
      <c r="J72" s="260">
        <v>57140</v>
      </c>
      <c r="K72" s="238" t="s">
        <v>39</v>
      </c>
      <c r="L72" s="271">
        <v>1</v>
      </c>
      <c r="M72" s="238" t="s">
        <v>39</v>
      </c>
      <c r="N72" s="266">
        <v>1</v>
      </c>
      <c r="O72" s="244">
        <f t="shared" si="3"/>
        <v>57140</v>
      </c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8"/>
      <c r="AA72" s="228"/>
      <c r="AB72" s="228"/>
      <c r="AC72" s="228"/>
      <c r="AD72" s="228"/>
      <c r="AE72" s="228"/>
      <c r="AF72" s="228"/>
      <c r="AG72" s="228"/>
      <c r="AH72" s="228"/>
      <c r="AI72" s="228"/>
      <c r="AJ72" s="228"/>
      <c r="AK72" s="228"/>
      <c r="AL72" s="228"/>
      <c r="AM72" s="228"/>
      <c r="AN72" s="228"/>
      <c r="AO72" s="228"/>
      <c r="AP72" s="228"/>
      <c r="AQ72" s="228"/>
      <c r="AR72" s="228"/>
    </row>
    <row r="73" spans="1:44" s="229" customFormat="1" ht="21.95" customHeight="1" x14ac:dyDescent="0.15">
      <c r="A73" s="218"/>
      <c r="B73" s="230"/>
      <c r="C73" s="230"/>
      <c r="D73" s="231"/>
      <c r="E73" s="232"/>
      <c r="F73" s="232"/>
      <c r="G73" s="233"/>
      <c r="H73" s="242"/>
      <c r="I73" s="259" t="s">
        <v>326</v>
      </c>
      <c r="J73" s="260">
        <v>200000</v>
      </c>
      <c r="K73" s="238" t="s">
        <v>39</v>
      </c>
      <c r="L73" s="271">
        <v>1</v>
      </c>
      <c r="M73" s="238" t="s">
        <v>39</v>
      </c>
      <c r="N73" s="266">
        <v>10</v>
      </c>
      <c r="O73" s="244">
        <f t="shared" si="3"/>
        <v>2000000</v>
      </c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8"/>
      <c r="AA73" s="228"/>
      <c r="AB73" s="228"/>
      <c r="AC73" s="228"/>
      <c r="AD73" s="228"/>
      <c r="AE73" s="228"/>
      <c r="AF73" s="228"/>
      <c r="AG73" s="228"/>
      <c r="AH73" s="228"/>
      <c r="AI73" s="228"/>
      <c r="AJ73" s="228"/>
      <c r="AK73" s="228"/>
      <c r="AL73" s="228"/>
      <c r="AM73" s="228"/>
      <c r="AN73" s="228"/>
      <c r="AO73" s="228"/>
      <c r="AP73" s="228"/>
      <c r="AQ73" s="228"/>
      <c r="AR73" s="228"/>
    </row>
    <row r="74" spans="1:44" s="229" customFormat="1" ht="21.95" customHeight="1" x14ac:dyDescent="0.15">
      <c r="A74" s="218"/>
      <c r="B74" s="230"/>
      <c r="C74" s="230"/>
      <c r="D74" s="231"/>
      <c r="E74" s="232"/>
      <c r="F74" s="232"/>
      <c r="G74" s="233"/>
      <c r="H74" s="242"/>
      <c r="I74" s="259" t="s">
        <v>326</v>
      </c>
      <c r="J74" s="260">
        <v>20000</v>
      </c>
      <c r="K74" s="238" t="s">
        <v>39</v>
      </c>
      <c r="L74" s="271">
        <v>1</v>
      </c>
      <c r="M74" s="238" t="s">
        <v>39</v>
      </c>
      <c r="N74" s="266">
        <v>10</v>
      </c>
      <c r="O74" s="244">
        <f t="shared" si="3"/>
        <v>200000</v>
      </c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</row>
    <row r="75" spans="1:44" s="229" customFormat="1" ht="21.95" customHeight="1" x14ac:dyDescent="0.15">
      <c r="A75" s="218"/>
      <c r="B75" s="230"/>
      <c r="C75" s="230"/>
      <c r="D75" s="231"/>
      <c r="E75" s="232"/>
      <c r="F75" s="232"/>
      <c r="G75" s="233"/>
      <c r="H75" s="242"/>
      <c r="I75" s="259" t="s">
        <v>331</v>
      </c>
      <c r="J75" s="260">
        <v>40000</v>
      </c>
      <c r="K75" s="238" t="s">
        <v>39</v>
      </c>
      <c r="L75" s="271">
        <v>1</v>
      </c>
      <c r="M75" s="238" t="s">
        <v>39</v>
      </c>
      <c r="N75" s="266">
        <v>12</v>
      </c>
      <c r="O75" s="244">
        <f t="shared" si="3"/>
        <v>480000</v>
      </c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228"/>
      <c r="AN75" s="228"/>
      <c r="AO75" s="228"/>
      <c r="AP75" s="228"/>
      <c r="AQ75" s="228"/>
      <c r="AR75" s="228"/>
    </row>
    <row r="76" spans="1:44" s="229" customFormat="1" ht="21.95" customHeight="1" x14ac:dyDescent="0.15">
      <c r="A76" s="218"/>
      <c r="B76" s="230"/>
      <c r="C76" s="230"/>
      <c r="D76" s="231"/>
      <c r="E76" s="232"/>
      <c r="F76" s="232"/>
      <c r="G76" s="233"/>
      <c r="H76" s="242"/>
      <c r="I76" s="259" t="s">
        <v>339</v>
      </c>
      <c r="J76" s="260">
        <v>40000</v>
      </c>
      <c r="K76" s="238" t="s">
        <v>39</v>
      </c>
      <c r="L76" s="271">
        <v>1</v>
      </c>
      <c r="M76" s="238" t="s">
        <v>39</v>
      </c>
      <c r="N76" s="266">
        <v>12</v>
      </c>
      <c r="O76" s="244">
        <f t="shared" si="3"/>
        <v>480000</v>
      </c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8"/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</row>
    <row r="77" spans="1:44" s="229" customFormat="1" ht="21.95" customHeight="1" x14ac:dyDescent="0.15">
      <c r="A77" s="218"/>
      <c r="B77" s="230"/>
      <c r="C77" s="230"/>
      <c r="D77" s="231"/>
      <c r="E77" s="232"/>
      <c r="F77" s="232"/>
      <c r="G77" s="233"/>
      <c r="H77" s="242">
        <v>5</v>
      </c>
      <c r="I77" s="259" t="s">
        <v>227</v>
      </c>
      <c r="J77" s="260">
        <v>495888650</v>
      </c>
      <c r="K77" s="238" t="s">
        <v>228</v>
      </c>
      <c r="L77" s="262">
        <v>12</v>
      </c>
      <c r="M77" s="238"/>
      <c r="N77" s="272"/>
      <c r="O77" s="263">
        <f>(J77/L77)+6</f>
        <v>41324060.166666664</v>
      </c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8"/>
      <c r="AA77" s="228"/>
      <c r="AB77" s="228"/>
      <c r="AC77" s="228"/>
      <c r="AD77" s="228"/>
      <c r="AE77" s="228"/>
      <c r="AF77" s="228"/>
      <c r="AG77" s="228"/>
      <c r="AH77" s="228"/>
      <c r="AI77" s="228"/>
      <c r="AJ77" s="228"/>
      <c r="AK77" s="228"/>
      <c r="AL77" s="228"/>
      <c r="AM77" s="228"/>
      <c r="AN77" s="228"/>
      <c r="AO77" s="228"/>
      <c r="AP77" s="228"/>
      <c r="AQ77" s="228"/>
      <c r="AR77" s="228"/>
    </row>
    <row r="78" spans="1:44" s="229" customFormat="1" ht="21.95" customHeight="1" x14ac:dyDescent="0.15">
      <c r="A78" s="218"/>
      <c r="B78" s="230"/>
      <c r="C78" s="230"/>
      <c r="D78" s="231"/>
      <c r="E78" s="232"/>
      <c r="F78" s="232"/>
      <c r="G78" s="233"/>
      <c r="H78" s="242">
        <v>6</v>
      </c>
      <c r="I78" s="259" t="s">
        <v>340</v>
      </c>
      <c r="J78" s="260">
        <v>495888650</v>
      </c>
      <c r="K78" s="238" t="s">
        <v>39</v>
      </c>
      <c r="L78" s="273">
        <v>4.5</v>
      </c>
      <c r="M78" s="274" t="s">
        <v>341</v>
      </c>
      <c r="N78" s="246"/>
      <c r="O78" s="269">
        <f>(J78*4.5%)+1</f>
        <v>22314990.25</v>
      </c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8"/>
      <c r="AA78" s="228"/>
      <c r="AB78" s="228"/>
      <c r="AC78" s="228"/>
      <c r="AD78" s="228"/>
      <c r="AE78" s="228"/>
      <c r="AF78" s="228"/>
      <c r="AG78" s="228"/>
      <c r="AH78" s="228"/>
      <c r="AI78" s="228"/>
      <c r="AJ78" s="228"/>
      <c r="AK78" s="228"/>
      <c r="AL78" s="228"/>
      <c r="AM78" s="228"/>
      <c r="AN78" s="228"/>
      <c r="AO78" s="228"/>
      <c r="AP78" s="228"/>
      <c r="AQ78" s="228"/>
      <c r="AR78" s="228"/>
    </row>
    <row r="79" spans="1:44" s="229" customFormat="1" ht="21.95" customHeight="1" x14ac:dyDescent="0.15">
      <c r="A79" s="218"/>
      <c r="B79" s="230"/>
      <c r="C79" s="230"/>
      <c r="D79" s="231"/>
      <c r="E79" s="232"/>
      <c r="F79" s="232"/>
      <c r="G79" s="233"/>
      <c r="H79" s="242">
        <v>7</v>
      </c>
      <c r="I79" s="259" t="s">
        <v>48</v>
      </c>
      <c r="J79" s="260">
        <v>495888650</v>
      </c>
      <c r="K79" s="238" t="s">
        <v>39</v>
      </c>
      <c r="L79" s="273">
        <v>3.23</v>
      </c>
      <c r="M79" s="274" t="s">
        <v>341</v>
      </c>
      <c r="N79" s="275"/>
      <c r="O79" s="269">
        <f>(J79*L79%)+7</f>
        <v>16017210.395000001</v>
      </c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  <c r="AK79" s="228"/>
      <c r="AL79" s="228"/>
      <c r="AM79" s="228"/>
      <c r="AN79" s="228"/>
      <c r="AO79" s="228"/>
      <c r="AP79" s="228"/>
      <c r="AQ79" s="228"/>
      <c r="AR79" s="228"/>
    </row>
    <row r="80" spans="1:44" s="229" customFormat="1" ht="21.95" customHeight="1" x14ac:dyDescent="0.15">
      <c r="A80" s="218"/>
      <c r="B80" s="230"/>
      <c r="C80" s="230"/>
      <c r="D80" s="231"/>
      <c r="E80" s="232"/>
      <c r="F80" s="232"/>
      <c r="G80" s="233"/>
      <c r="H80" s="242"/>
      <c r="I80" s="259" t="s">
        <v>342</v>
      </c>
      <c r="J80" s="260">
        <v>16017210.395000001</v>
      </c>
      <c r="K80" s="238" t="s">
        <v>39</v>
      </c>
      <c r="L80" s="273">
        <v>8.51</v>
      </c>
      <c r="M80" s="274" t="s">
        <v>341</v>
      </c>
      <c r="N80" s="275"/>
      <c r="O80" s="244">
        <f>(J80*L80%)+5</f>
        <v>1363069.6046145</v>
      </c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8"/>
      <c r="AA80" s="228"/>
      <c r="AB80" s="228"/>
      <c r="AC80" s="228"/>
      <c r="AD80" s="228"/>
      <c r="AE80" s="228"/>
      <c r="AF80" s="228"/>
      <c r="AG80" s="228"/>
      <c r="AH80" s="228"/>
      <c r="AI80" s="228"/>
      <c r="AJ80" s="228"/>
      <c r="AK80" s="228"/>
      <c r="AL80" s="228"/>
      <c r="AM80" s="228"/>
      <c r="AN80" s="228"/>
      <c r="AO80" s="228"/>
      <c r="AP80" s="228"/>
      <c r="AQ80" s="228"/>
      <c r="AR80" s="228"/>
    </row>
    <row r="81" spans="1:44" s="229" customFormat="1" ht="21.95" customHeight="1" x14ac:dyDescent="0.15">
      <c r="A81" s="218"/>
      <c r="B81" s="230"/>
      <c r="C81" s="230"/>
      <c r="D81" s="231"/>
      <c r="E81" s="232"/>
      <c r="F81" s="232"/>
      <c r="G81" s="233"/>
      <c r="H81" s="242">
        <v>8</v>
      </c>
      <c r="I81" s="259" t="s">
        <v>144</v>
      </c>
      <c r="J81" s="260">
        <v>495888650</v>
      </c>
      <c r="K81" s="238" t="s">
        <v>39</v>
      </c>
      <c r="L81" s="273">
        <v>0.9</v>
      </c>
      <c r="M81" s="274" t="s">
        <v>341</v>
      </c>
      <c r="N81" s="238"/>
      <c r="O81" s="244">
        <f>(J81*L81%)+2</f>
        <v>4462999.8500000006</v>
      </c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8"/>
      <c r="AA81" s="228"/>
      <c r="AB81" s="228"/>
      <c r="AC81" s="228"/>
      <c r="AD81" s="228"/>
      <c r="AE81" s="228"/>
      <c r="AF81" s="228"/>
      <c r="AG81" s="228"/>
      <c r="AH81" s="228"/>
      <c r="AI81" s="228"/>
      <c r="AJ81" s="228"/>
      <c r="AK81" s="228"/>
      <c r="AL81" s="228"/>
      <c r="AM81" s="228"/>
      <c r="AN81" s="228"/>
      <c r="AO81" s="228"/>
      <c r="AP81" s="228"/>
      <c r="AQ81" s="228"/>
      <c r="AR81" s="228"/>
    </row>
    <row r="82" spans="1:44" s="229" customFormat="1" ht="21.95" customHeight="1" x14ac:dyDescent="0.15">
      <c r="A82" s="218"/>
      <c r="B82" s="230"/>
      <c r="C82" s="230"/>
      <c r="D82" s="231"/>
      <c r="E82" s="232"/>
      <c r="F82" s="232"/>
      <c r="G82" s="233"/>
      <c r="H82" s="242">
        <v>9</v>
      </c>
      <c r="I82" s="259" t="s">
        <v>145</v>
      </c>
      <c r="J82" s="260">
        <v>495888650</v>
      </c>
      <c r="K82" s="238" t="s">
        <v>39</v>
      </c>
      <c r="L82" s="273">
        <v>0.85</v>
      </c>
      <c r="M82" s="274" t="s">
        <v>341</v>
      </c>
      <c r="N82" s="238"/>
      <c r="O82" s="244">
        <f>(J82*L82%)+6</f>
        <v>4215059.5250000004</v>
      </c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8"/>
      <c r="AA82" s="228"/>
      <c r="AB82" s="228"/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</row>
    <row r="83" spans="1:44" s="229" customFormat="1" ht="21.95" customHeight="1" x14ac:dyDescent="0.15">
      <c r="A83" s="218"/>
      <c r="B83" s="230"/>
      <c r="C83" s="230"/>
      <c r="D83" s="231"/>
      <c r="E83" s="232"/>
      <c r="F83" s="232"/>
      <c r="G83" s="233"/>
      <c r="H83" s="242">
        <v>10</v>
      </c>
      <c r="I83" s="256" t="s">
        <v>343</v>
      </c>
      <c r="J83" s="257">
        <v>500</v>
      </c>
      <c r="K83" s="238" t="s">
        <v>39</v>
      </c>
      <c r="L83" s="276" t="s">
        <v>344</v>
      </c>
      <c r="M83" s="238" t="s">
        <v>39</v>
      </c>
      <c r="N83" s="277">
        <v>365</v>
      </c>
      <c r="O83" s="244">
        <v>4242500</v>
      </c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8"/>
      <c r="AA83" s="228"/>
      <c r="AB83" s="228"/>
      <c r="AC83" s="228"/>
      <c r="AD83" s="228"/>
      <c r="AE83" s="228"/>
      <c r="AF83" s="228"/>
      <c r="AG83" s="228"/>
      <c r="AH83" s="228"/>
      <c r="AI83" s="228"/>
      <c r="AJ83" s="228"/>
      <c r="AK83" s="228"/>
      <c r="AL83" s="228"/>
      <c r="AM83" s="228"/>
      <c r="AN83" s="228"/>
      <c r="AO83" s="228"/>
      <c r="AP83" s="228"/>
      <c r="AQ83" s="228"/>
      <c r="AR83" s="228"/>
    </row>
    <row r="84" spans="1:44" s="229" customFormat="1" ht="21.95" customHeight="1" x14ac:dyDescent="0.15">
      <c r="A84" s="218"/>
      <c r="B84" s="230"/>
      <c r="C84" s="230"/>
      <c r="D84" s="231"/>
      <c r="E84" s="232"/>
      <c r="F84" s="232"/>
      <c r="G84" s="233"/>
      <c r="H84" s="242">
        <v>11</v>
      </c>
      <c r="I84" s="256" t="s">
        <v>345</v>
      </c>
      <c r="J84" s="257">
        <v>100000</v>
      </c>
      <c r="K84" s="238" t="s">
        <v>39</v>
      </c>
      <c r="L84" s="276" t="s">
        <v>344</v>
      </c>
      <c r="M84" s="238"/>
      <c r="N84" s="258"/>
      <c r="O84" s="244">
        <v>2324940</v>
      </c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8"/>
      <c r="AA84" s="228"/>
      <c r="AB84" s="228"/>
      <c r="AC84" s="228"/>
      <c r="AD84" s="228"/>
      <c r="AE84" s="228"/>
      <c r="AF84" s="228"/>
      <c r="AG84" s="228"/>
      <c r="AH84" s="228"/>
      <c r="AI84" s="228"/>
      <c r="AJ84" s="228"/>
      <c r="AK84" s="228"/>
      <c r="AL84" s="228"/>
      <c r="AM84" s="228"/>
      <c r="AN84" s="228"/>
      <c r="AO84" s="228"/>
      <c r="AP84" s="228"/>
      <c r="AQ84" s="228"/>
      <c r="AR84" s="228"/>
    </row>
    <row r="85" spans="1:44" s="229" customFormat="1" ht="21.95" customHeight="1" x14ac:dyDescent="0.15">
      <c r="A85" s="218"/>
      <c r="B85" s="230"/>
      <c r="C85" s="230"/>
      <c r="D85" s="231"/>
      <c r="E85" s="232"/>
      <c r="F85" s="232"/>
      <c r="G85" s="233"/>
      <c r="H85" s="242">
        <v>12</v>
      </c>
      <c r="I85" s="256" t="s">
        <v>346</v>
      </c>
      <c r="J85" s="257">
        <v>20000</v>
      </c>
      <c r="K85" s="238" t="s">
        <v>39</v>
      </c>
      <c r="L85" s="276" t="s">
        <v>344</v>
      </c>
      <c r="M85" s="238"/>
      <c r="N85" s="258"/>
      <c r="O85" s="244">
        <v>464970</v>
      </c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8"/>
      <c r="AA85" s="228"/>
      <c r="AB85" s="228"/>
      <c r="AC85" s="228"/>
      <c r="AD85" s="228"/>
      <c r="AE85" s="228"/>
      <c r="AF85" s="228"/>
      <c r="AG85" s="228"/>
      <c r="AH85" s="228"/>
      <c r="AI85" s="228"/>
      <c r="AJ85" s="228"/>
      <c r="AK85" s="228"/>
      <c r="AL85" s="228"/>
      <c r="AM85" s="228"/>
      <c r="AN85" s="228"/>
      <c r="AO85" s="228"/>
      <c r="AP85" s="228"/>
      <c r="AQ85" s="228"/>
      <c r="AR85" s="228"/>
    </row>
    <row r="86" spans="1:44" s="229" customFormat="1" ht="21.95" customHeight="1" x14ac:dyDescent="0.15">
      <c r="A86" s="218"/>
      <c r="B86" s="230"/>
      <c r="C86" s="230"/>
      <c r="D86" s="231"/>
      <c r="E86" s="232"/>
      <c r="F86" s="232"/>
      <c r="G86" s="233"/>
      <c r="H86" s="242">
        <v>13</v>
      </c>
      <c r="I86" s="256" t="s">
        <v>347</v>
      </c>
      <c r="J86" s="1004" t="s">
        <v>348</v>
      </c>
      <c r="K86" s="1004"/>
      <c r="L86" s="1004"/>
      <c r="M86" s="1004"/>
      <c r="N86" s="1004"/>
      <c r="O86" s="244">
        <v>4935000</v>
      </c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8"/>
      <c r="AA86" s="228"/>
      <c r="AB86" s="228"/>
      <c r="AC86" s="228"/>
      <c r="AD86" s="228"/>
      <c r="AE86" s="228"/>
      <c r="AF86" s="228"/>
      <c r="AG86" s="228"/>
      <c r="AH86" s="228"/>
      <c r="AI86" s="228"/>
      <c r="AJ86" s="228"/>
      <c r="AK86" s="228"/>
      <c r="AL86" s="228"/>
      <c r="AM86" s="228"/>
      <c r="AN86" s="228"/>
      <c r="AO86" s="228"/>
      <c r="AP86" s="228"/>
      <c r="AQ86" s="228"/>
      <c r="AR86" s="228"/>
    </row>
    <row r="87" spans="1:44" s="229" customFormat="1" ht="21.95" customHeight="1" x14ac:dyDescent="0.15">
      <c r="A87" s="218"/>
      <c r="B87" s="230"/>
      <c r="C87" s="230"/>
      <c r="D87" s="231"/>
      <c r="E87" s="232"/>
      <c r="F87" s="232"/>
      <c r="G87" s="233"/>
      <c r="H87" s="278">
        <v>14</v>
      </c>
      <c r="I87" s="548" t="s">
        <v>349</v>
      </c>
      <c r="J87" s="260"/>
      <c r="K87" s="238"/>
      <c r="L87" s="279"/>
      <c r="M87" s="280"/>
      <c r="N87" s="261"/>
      <c r="O87" s="281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</row>
    <row r="88" spans="1:44" s="229" customFormat="1" ht="21.95" customHeight="1" x14ac:dyDescent="0.15">
      <c r="A88" s="218"/>
      <c r="B88" s="230"/>
      <c r="C88" s="230"/>
      <c r="D88" s="231"/>
      <c r="E88" s="232"/>
      <c r="F88" s="232"/>
      <c r="G88" s="233"/>
      <c r="H88" s="278"/>
      <c r="I88" s="548" t="s">
        <v>350</v>
      </c>
      <c r="J88" s="260">
        <v>5000</v>
      </c>
      <c r="K88" s="238" t="s">
        <v>39</v>
      </c>
      <c r="L88" s="279">
        <v>2</v>
      </c>
      <c r="M88" s="238" t="s">
        <v>39</v>
      </c>
      <c r="N88" s="261">
        <v>6</v>
      </c>
      <c r="O88" s="281">
        <f>J88*L88*N88</f>
        <v>60000</v>
      </c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8"/>
      <c r="AA88" s="228"/>
      <c r="AB88" s="228"/>
      <c r="AC88" s="228"/>
      <c r="AD88" s="228"/>
      <c r="AE88" s="228"/>
      <c r="AF88" s="228"/>
      <c r="AG88" s="228"/>
      <c r="AH88" s="228"/>
      <c r="AI88" s="228"/>
      <c r="AJ88" s="228"/>
      <c r="AK88" s="228"/>
      <c r="AL88" s="228"/>
      <c r="AM88" s="228"/>
      <c r="AN88" s="228"/>
      <c r="AO88" s="228"/>
      <c r="AP88" s="228"/>
      <c r="AQ88" s="228"/>
      <c r="AR88" s="228"/>
    </row>
    <row r="89" spans="1:44" s="229" customFormat="1" ht="21.95" customHeight="1" x14ac:dyDescent="0.15">
      <c r="A89" s="218"/>
      <c r="B89" s="230"/>
      <c r="C89" s="230"/>
      <c r="D89" s="231"/>
      <c r="E89" s="232"/>
      <c r="F89" s="232"/>
      <c r="G89" s="233"/>
      <c r="H89" s="278"/>
      <c r="I89" s="548"/>
      <c r="J89" s="260">
        <v>5000</v>
      </c>
      <c r="K89" s="238" t="s">
        <v>39</v>
      </c>
      <c r="L89" s="279">
        <v>8</v>
      </c>
      <c r="M89" s="238" t="s">
        <v>39</v>
      </c>
      <c r="N89" s="261">
        <v>4</v>
      </c>
      <c r="O89" s="281">
        <f>J89*L89*N89</f>
        <v>160000</v>
      </c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8"/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</row>
    <row r="90" spans="1:44" s="229" customFormat="1" ht="21.95" customHeight="1" x14ac:dyDescent="0.15">
      <c r="A90" s="218"/>
      <c r="B90" s="230"/>
      <c r="C90" s="230"/>
      <c r="D90" s="231"/>
      <c r="E90" s="232"/>
      <c r="F90" s="232"/>
      <c r="G90" s="233"/>
      <c r="H90" s="278"/>
      <c r="I90" s="548" t="s">
        <v>351</v>
      </c>
      <c r="J90" s="260">
        <v>15000</v>
      </c>
      <c r="K90" s="238" t="s">
        <v>39</v>
      </c>
      <c r="L90" s="279">
        <v>2</v>
      </c>
      <c r="M90" s="238" t="s">
        <v>39</v>
      </c>
      <c r="N90" s="261">
        <v>5</v>
      </c>
      <c r="O90" s="281">
        <f>J90*L90*N90</f>
        <v>150000</v>
      </c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8"/>
      <c r="AA90" s="228"/>
      <c r="AB90" s="228"/>
      <c r="AC90" s="228"/>
      <c r="AD90" s="228"/>
      <c r="AE90" s="228"/>
      <c r="AF90" s="228"/>
      <c r="AG90" s="228"/>
      <c r="AH90" s="228"/>
      <c r="AI90" s="228"/>
      <c r="AJ90" s="228"/>
      <c r="AK90" s="228"/>
      <c r="AL90" s="228"/>
      <c r="AM90" s="228"/>
      <c r="AN90" s="228"/>
      <c r="AO90" s="228"/>
      <c r="AP90" s="228"/>
      <c r="AQ90" s="228"/>
      <c r="AR90" s="228"/>
    </row>
    <row r="91" spans="1:44" s="229" customFormat="1" ht="21.95" customHeight="1" x14ac:dyDescent="0.15">
      <c r="A91" s="218"/>
      <c r="B91" s="230"/>
      <c r="C91" s="230"/>
      <c r="D91" s="231"/>
      <c r="E91" s="232"/>
      <c r="F91" s="232"/>
      <c r="G91" s="233"/>
      <c r="H91" s="278"/>
      <c r="I91" s="548"/>
      <c r="J91" s="260">
        <v>15000</v>
      </c>
      <c r="K91" s="238" t="s">
        <v>39</v>
      </c>
      <c r="L91" s="279">
        <v>10</v>
      </c>
      <c r="M91" s="238" t="s">
        <v>39</v>
      </c>
      <c r="N91" s="261">
        <v>7</v>
      </c>
      <c r="O91" s="281">
        <f t="shared" ref="O91" si="4">J91*L91*N91</f>
        <v>1050000</v>
      </c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8"/>
      <c r="AA91" s="228"/>
      <c r="AB91" s="228"/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</row>
    <row r="92" spans="1:44" s="229" customFormat="1" ht="21.95" customHeight="1" x14ac:dyDescent="0.15">
      <c r="A92" s="218"/>
      <c r="B92" s="230"/>
      <c r="C92" s="230"/>
      <c r="D92" s="231"/>
      <c r="E92" s="232"/>
      <c r="F92" s="232"/>
      <c r="G92" s="233"/>
      <c r="H92" s="278"/>
      <c r="I92" s="548" t="s">
        <v>352</v>
      </c>
      <c r="J92" s="260">
        <v>30000</v>
      </c>
      <c r="K92" s="238" t="s">
        <v>39</v>
      </c>
      <c r="L92" s="279">
        <v>2</v>
      </c>
      <c r="M92" s="238" t="s">
        <v>39</v>
      </c>
      <c r="N92" s="261">
        <v>6</v>
      </c>
      <c r="O92" s="281">
        <f>J92*L92*N92</f>
        <v>360000</v>
      </c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228"/>
      <c r="AK92" s="228"/>
      <c r="AL92" s="228"/>
      <c r="AM92" s="228"/>
      <c r="AN92" s="228"/>
      <c r="AO92" s="228"/>
      <c r="AP92" s="228"/>
      <c r="AQ92" s="228"/>
      <c r="AR92" s="228"/>
    </row>
    <row r="93" spans="1:44" s="229" customFormat="1" ht="21.95" customHeight="1" x14ac:dyDescent="0.15">
      <c r="A93" s="218"/>
      <c r="B93" s="230"/>
      <c r="C93" s="230"/>
      <c r="D93" s="231"/>
      <c r="E93" s="232"/>
      <c r="F93" s="232"/>
      <c r="G93" s="233"/>
      <c r="H93" s="278"/>
      <c r="I93" s="548"/>
      <c r="J93" s="260">
        <v>30000</v>
      </c>
      <c r="K93" s="238" t="s">
        <v>39</v>
      </c>
      <c r="L93" s="279">
        <v>10</v>
      </c>
      <c r="M93" s="238" t="s">
        <v>39</v>
      </c>
      <c r="N93" s="261">
        <v>4</v>
      </c>
      <c r="O93" s="281">
        <f t="shared" ref="O93:O94" si="5">J93*L93*N93</f>
        <v>1200000</v>
      </c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8"/>
      <c r="AA93" s="228"/>
      <c r="AB93" s="228"/>
      <c r="AC93" s="228"/>
      <c r="AD93" s="228"/>
      <c r="AE93" s="228"/>
      <c r="AF93" s="228"/>
      <c r="AG93" s="228"/>
      <c r="AH93" s="228"/>
      <c r="AI93" s="228"/>
      <c r="AJ93" s="228"/>
      <c r="AK93" s="228"/>
      <c r="AL93" s="228"/>
      <c r="AM93" s="228"/>
      <c r="AN93" s="228"/>
      <c r="AO93" s="228"/>
      <c r="AP93" s="228"/>
      <c r="AQ93" s="228"/>
      <c r="AR93" s="228"/>
    </row>
    <row r="94" spans="1:44" s="229" customFormat="1" ht="21.95" customHeight="1" thickBot="1" x14ac:dyDescent="0.2">
      <c r="A94" s="506"/>
      <c r="B94" s="507"/>
      <c r="C94" s="507"/>
      <c r="D94" s="651"/>
      <c r="E94" s="652"/>
      <c r="F94" s="652"/>
      <c r="G94" s="495"/>
      <c r="H94" s="496"/>
      <c r="I94" s="795" t="s">
        <v>353</v>
      </c>
      <c r="J94" s="751">
        <v>40000</v>
      </c>
      <c r="K94" s="752" t="s">
        <v>39</v>
      </c>
      <c r="L94" s="796">
        <v>2</v>
      </c>
      <c r="M94" s="752" t="s">
        <v>39</v>
      </c>
      <c r="N94" s="468">
        <v>7</v>
      </c>
      <c r="O94" s="654">
        <f t="shared" si="5"/>
        <v>560000</v>
      </c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8"/>
      <c r="AA94" s="228"/>
      <c r="AB94" s="228"/>
      <c r="AC94" s="228"/>
      <c r="AD94" s="228"/>
      <c r="AE94" s="228"/>
      <c r="AF94" s="228"/>
      <c r="AG94" s="228"/>
      <c r="AH94" s="228"/>
      <c r="AI94" s="228"/>
      <c r="AJ94" s="228"/>
      <c r="AK94" s="228"/>
      <c r="AL94" s="228"/>
      <c r="AM94" s="228"/>
      <c r="AN94" s="228"/>
      <c r="AO94" s="228"/>
      <c r="AP94" s="228"/>
      <c r="AQ94" s="228"/>
      <c r="AR94" s="228"/>
    </row>
    <row r="95" spans="1:44" s="229" customFormat="1" ht="21.95" customHeight="1" x14ac:dyDescent="0.15">
      <c r="A95" s="218"/>
      <c r="B95" s="230"/>
      <c r="C95" s="230"/>
      <c r="D95" s="231"/>
      <c r="E95" s="232"/>
      <c r="F95" s="232"/>
      <c r="G95" s="233"/>
      <c r="H95" s="278"/>
      <c r="I95" s="548"/>
      <c r="J95" s="260">
        <v>40000</v>
      </c>
      <c r="K95" s="238" t="s">
        <v>39</v>
      </c>
      <c r="L95" s="279">
        <v>10</v>
      </c>
      <c r="M95" s="238" t="s">
        <v>39</v>
      </c>
      <c r="N95" s="261">
        <v>8</v>
      </c>
      <c r="O95" s="281">
        <f>J95*L95*N95</f>
        <v>3200000</v>
      </c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8"/>
      <c r="AA95" s="228"/>
      <c r="AB95" s="228"/>
      <c r="AC95" s="228"/>
      <c r="AD95" s="228"/>
      <c r="AE95" s="228"/>
      <c r="AF95" s="228"/>
      <c r="AG95" s="228"/>
      <c r="AH95" s="228"/>
      <c r="AI95" s="228"/>
      <c r="AJ95" s="228"/>
      <c r="AK95" s="228"/>
      <c r="AL95" s="228"/>
      <c r="AM95" s="228"/>
      <c r="AN95" s="228"/>
      <c r="AO95" s="228"/>
      <c r="AP95" s="228"/>
      <c r="AQ95" s="228"/>
      <c r="AR95" s="228"/>
    </row>
    <row r="96" spans="1:44" s="229" customFormat="1" ht="21.95" customHeight="1" x14ac:dyDescent="0.15">
      <c r="A96" s="218"/>
      <c r="B96" s="230"/>
      <c r="C96" s="230"/>
      <c r="D96" s="231"/>
      <c r="E96" s="232"/>
      <c r="F96" s="232"/>
      <c r="G96" s="233"/>
      <c r="H96" s="242">
        <v>15</v>
      </c>
      <c r="I96" s="256" t="s">
        <v>354</v>
      </c>
      <c r="J96" s="257">
        <v>400</v>
      </c>
      <c r="K96" s="238" t="s">
        <v>39</v>
      </c>
      <c r="L96" s="276" t="s">
        <v>344</v>
      </c>
      <c r="M96" s="238" t="s">
        <v>39</v>
      </c>
      <c r="N96" s="277">
        <v>365</v>
      </c>
      <c r="O96" s="244">
        <v>3394000</v>
      </c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8"/>
      <c r="AA96" s="228"/>
      <c r="AB96" s="228"/>
      <c r="AC96" s="228"/>
      <c r="AD96" s="228"/>
      <c r="AE96" s="228"/>
      <c r="AF96" s="228"/>
      <c r="AG96" s="228"/>
      <c r="AH96" s="228"/>
      <c r="AI96" s="228"/>
      <c r="AJ96" s="228"/>
      <c r="AK96" s="228"/>
      <c r="AL96" s="228"/>
      <c r="AM96" s="228"/>
      <c r="AN96" s="228"/>
      <c r="AO96" s="228"/>
      <c r="AP96" s="228"/>
      <c r="AQ96" s="228"/>
      <c r="AR96" s="228"/>
    </row>
    <row r="97" spans="1:44" s="229" customFormat="1" ht="21.95" customHeight="1" x14ac:dyDescent="0.15">
      <c r="A97" s="218"/>
      <c r="B97" s="230"/>
      <c r="C97" s="230"/>
      <c r="D97" s="231"/>
      <c r="E97" s="232"/>
      <c r="F97" s="232"/>
      <c r="G97" s="233"/>
      <c r="H97" s="242">
        <v>16</v>
      </c>
      <c r="I97" s="256" t="s">
        <v>355</v>
      </c>
      <c r="J97" s="257">
        <v>40000</v>
      </c>
      <c r="K97" s="238" t="s">
        <v>39</v>
      </c>
      <c r="L97" s="246">
        <v>23</v>
      </c>
      <c r="M97" s="238"/>
      <c r="N97" s="258"/>
      <c r="O97" s="244">
        <f>J97*L97</f>
        <v>920000</v>
      </c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8"/>
      <c r="AA97" s="228"/>
      <c r="AB97" s="228"/>
      <c r="AC97" s="228"/>
      <c r="AD97" s="228"/>
      <c r="AE97" s="228"/>
      <c r="AF97" s="228"/>
      <c r="AG97" s="228"/>
      <c r="AH97" s="228"/>
      <c r="AI97" s="228"/>
      <c r="AJ97" s="228"/>
      <c r="AK97" s="228"/>
      <c r="AL97" s="228"/>
      <c r="AM97" s="228"/>
      <c r="AN97" s="228"/>
      <c r="AO97" s="228"/>
      <c r="AP97" s="228"/>
      <c r="AQ97" s="228"/>
      <c r="AR97" s="228"/>
    </row>
    <row r="98" spans="1:44" s="229" customFormat="1" ht="21.95" customHeight="1" x14ac:dyDescent="0.15">
      <c r="A98" s="218"/>
      <c r="B98" s="230"/>
      <c r="C98" s="230"/>
      <c r="D98" s="231"/>
      <c r="E98" s="232"/>
      <c r="F98" s="232"/>
      <c r="G98" s="233"/>
      <c r="H98" s="242">
        <v>17</v>
      </c>
      <c r="I98" s="256" t="s">
        <v>356</v>
      </c>
      <c r="J98" s="257">
        <v>150000</v>
      </c>
      <c r="K98" s="238" t="s">
        <v>39</v>
      </c>
      <c r="L98" s="246">
        <v>5</v>
      </c>
      <c r="M98" s="238"/>
      <c r="N98" s="258"/>
      <c r="O98" s="244">
        <f>J98*L98</f>
        <v>750000</v>
      </c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8"/>
      <c r="AA98" s="228"/>
      <c r="AB98" s="228"/>
      <c r="AC98" s="228"/>
      <c r="AD98" s="228"/>
      <c r="AE98" s="228"/>
      <c r="AF98" s="228"/>
      <c r="AG98" s="228"/>
      <c r="AH98" s="228"/>
      <c r="AI98" s="228"/>
      <c r="AJ98" s="228"/>
      <c r="AK98" s="228"/>
      <c r="AL98" s="228"/>
      <c r="AM98" s="228"/>
      <c r="AN98" s="228"/>
      <c r="AO98" s="228"/>
      <c r="AP98" s="228"/>
      <c r="AQ98" s="228"/>
      <c r="AR98" s="228"/>
    </row>
    <row r="99" spans="1:44" s="229" customFormat="1" ht="21.95" customHeight="1" x14ac:dyDescent="0.15">
      <c r="A99" s="218"/>
      <c r="B99" s="230"/>
      <c r="C99" s="230"/>
      <c r="D99" s="231"/>
      <c r="E99" s="232"/>
      <c r="F99" s="232"/>
      <c r="G99" s="233"/>
      <c r="H99" s="242">
        <v>18</v>
      </c>
      <c r="I99" s="256" t="s">
        <v>357</v>
      </c>
      <c r="J99" s="257">
        <v>50000</v>
      </c>
      <c r="K99" s="238" t="s">
        <v>39</v>
      </c>
      <c r="L99" s="246">
        <v>5</v>
      </c>
      <c r="M99" s="238" t="s">
        <v>39</v>
      </c>
      <c r="N99" s="279">
        <v>2</v>
      </c>
      <c r="O99" s="244">
        <f>J99*L99*N99</f>
        <v>500000</v>
      </c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8"/>
      <c r="AA99" s="228"/>
      <c r="AB99" s="228"/>
      <c r="AC99" s="228"/>
      <c r="AD99" s="228"/>
      <c r="AE99" s="228"/>
      <c r="AF99" s="228"/>
      <c r="AG99" s="228"/>
      <c r="AH99" s="228"/>
      <c r="AI99" s="228"/>
      <c r="AJ99" s="228"/>
      <c r="AK99" s="228"/>
      <c r="AL99" s="228"/>
      <c r="AM99" s="228"/>
      <c r="AN99" s="228"/>
      <c r="AO99" s="228"/>
      <c r="AP99" s="228"/>
      <c r="AQ99" s="228"/>
      <c r="AR99" s="228"/>
    </row>
    <row r="100" spans="1:44" s="229" customFormat="1" ht="21.95" customHeight="1" x14ac:dyDescent="0.15">
      <c r="A100" s="218"/>
      <c r="B100" s="230"/>
      <c r="C100" s="230"/>
      <c r="D100" s="231"/>
      <c r="E100" s="232"/>
      <c r="F100" s="232"/>
      <c r="G100" s="233"/>
      <c r="H100" s="242"/>
      <c r="I100" s="256"/>
      <c r="J100" s="257">
        <v>50000</v>
      </c>
      <c r="K100" s="238" t="s">
        <v>39</v>
      </c>
      <c r="L100" s="246">
        <v>7</v>
      </c>
      <c r="M100" s="238" t="s">
        <v>39</v>
      </c>
      <c r="N100" s="279">
        <v>10</v>
      </c>
      <c r="O100" s="244">
        <f>J100*L100*N100</f>
        <v>3500000</v>
      </c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8"/>
      <c r="AA100" s="228"/>
      <c r="AB100" s="228"/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</row>
    <row r="101" spans="1:44" s="229" customFormat="1" ht="21.95" customHeight="1" x14ac:dyDescent="0.15">
      <c r="A101" s="218"/>
      <c r="B101" s="230"/>
      <c r="C101" s="230"/>
      <c r="D101" s="231"/>
      <c r="E101" s="232"/>
      <c r="F101" s="232"/>
      <c r="G101" s="233"/>
      <c r="H101" s="242">
        <v>19</v>
      </c>
      <c r="I101" s="256" t="s">
        <v>358</v>
      </c>
      <c r="J101" s="257">
        <v>60000</v>
      </c>
      <c r="K101" s="238" t="s">
        <v>39</v>
      </c>
      <c r="L101" s="246">
        <v>5</v>
      </c>
      <c r="M101" s="238"/>
      <c r="N101" s="258"/>
      <c r="O101" s="244">
        <f>J101*L101</f>
        <v>300000</v>
      </c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8"/>
      <c r="AA101" s="228"/>
      <c r="AB101" s="228"/>
      <c r="AC101" s="228"/>
      <c r="AD101" s="228"/>
      <c r="AE101" s="228"/>
      <c r="AF101" s="228"/>
      <c r="AG101" s="228"/>
      <c r="AH101" s="228"/>
      <c r="AI101" s="228"/>
      <c r="AJ101" s="228"/>
      <c r="AK101" s="228"/>
      <c r="AL101" s="228"/>
      <c r="AM101" s="228"/>
      <c r="AN101" s="228"/>
      <c r="AO101" s="228"/>
      <c r="AP101" s="228"/>
      <c r="AQ101" s="228"/>
      <c r="AR101" s="228"/>
    </row>
    <row r="102" spans="1:44" s="229" customFormat="1" ht="21.95" customHeight="1" x14ac:dyDescent="0.15">
      <c r="A102" s="218"/>
      <c r="B102" s="230"/>
      <c r="C102" s="230"/>
      <c r="D102" s="231"/>
      <c r="E102" s="232"/>
      <c r="F102" s="232"/>
      <c r="G102" s="233"/>
      <c r="H102" s="242">
        <v>22</v>
      </c>
      <c r="I102" s="256" t="s">
        <v>359</v>
      </c>
      <c r="J102" s="257"/>
      <c r="K102" s="238"/>
      <c r="L102" s="246"/>
      <c r="M102" s="238"/>
      <c r="N102" s="258"/>
      <c r="O102" s="244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8"/>
      <c r="AA102" s="228"/>
      <c r="AB102" s="228"/>
      <c r="AC102" s="228"/>
      <c r="AD102" s="228"/>
      <c r="AE102" s="228"/>
      <c r="AF102" s="228"/>
      <c r="AG102" s="228"/>
      <c r="AH102" s="228"/>
      <c r="AI102" s="228"/>
      <c r="AJ102" s="228"/>
      <c r="AK102" s="228"/>
      <c r="AL102" s="228"/>
      <c r="AM102" s="228"/>
      <c r="AN102" s="228"/>
      <c r="AO102" s="228"/>
      <c r="AP102" s="228"/>
      <c r="AQ102" s="228"/>
      <c r="AR102" s="228"/>
    </row>
    <row r="103" spans="1:44" s="229" customFormat="1" ht="21.95" customHeight="1" x14ac:dyDescent="0.15">
      <c r="A103" s="218"/>
      <c r="B103" s="230"/>
      <c r="C103" s="230"/>
      <c r="D103" s="231"/>
      <c r="E103" s="232"/>
      <c r="F103" s="232"/>
      <c r="G103" s="233"/>
      <c r="H103" s="242"/>
      <c r="I103" s="256" t="s">
        <v>360</v>
      </c>
      <c r="J103" s="257">
        <v>20000</v>
      </c>
      <c r="K103" s="238" t="s">
        <v>39</v>
      </c>
      <c r="L103" s="246">
        <v>11</v>
      </c>
      <c r="M103" s="238"/>
      <c r="N103" s="258"/>
      <c r="O103" s="244">
        <f>J103*L103</f>
        <v>220000</v>
      </c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8"/>
      <c r="AA103" s="228"/>
      <c r="AB103" s="228"/>
      <c r="AC103" s="228"/>
      <c r="AD103" s="228"/>
      <c r="AE103" s="228"/>
      <c r="AF103" s="228"/>
      <c r="AG103" s="228"/>
      <c r="AH103" s="228"/>
      <c r="AI103" s="228"/>
      <c r="AJ103" s="228"/>
      <c r="AK103" s="228"/>
      <c r="AL103" s="228"/>
      <c r="AM103" s="228"/>
      <c r="AN103" s="228"/>
      <c r="AO103" s="228"/>
      <c r="AP103" s="228"/>
      <c r="AQ103" s="228"/>
      <c r="AR103" s="228"/>
    </row>
    <row r="104" spans="1:44" s="229" customFormat="1" ht="21.95" customHeight="1" x14ac:dyDescent="0.15">
      <c r="A104" s="218"/>
      <c r="B104" s="230"/>
      <c r="C104" s="230"/>
      <c r="D104" s="231"/>
      <c r="E104" s="232"/>
      <c r="F104" s="232"/>
      <c r="G104" s="233"/>
      <c r="H104" s="242"/>
      <c r="I104" s="256" t="s">
        <v>361</v>
      </c>
      <c r="J104" s="257">
        <v>25000</v>
      </c>
      <c r="K104" s="238" t="s">
        <v>39</v>
      </c>
      <c r="L104" s="246">
        <v>12</v>
      </c>
      <c r="M104" s="238"/>
      <c r="N104" s="258"/>
      <c r="O104" s="244">
        <f>J104*L104</f>
        <v>300000</v>
      </c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8"/>
      <c r="AA104" s="228"/>
      <c r="AB104" s="228"/>
      <c r="AC104" s="228"/>
      <c r="AD104" s="228"/>
      <c r="AE104" s="228"/>
      <c r="AF104" s="228"/>
      <c r="AG104" s="228"/>
      <c r="AH104" s="228"/>
      <c r="AI104" s="228"/>
      <c r="AJ104" s="228"/>
      <c r="AK104" s="228"/>
      <c r="AL104" s="228"/>
      <c r="AM104" s="228"/>
      <c r="AN104" s="228"/>
      <c r="AO104" s="228"/>
      <c r="AP104" s="228"/>
      <c r="AQ104" s="228"/>
      <c r="AR104" s="228"/>
    </row>
    <row r="105" spans="1:44" s="229" customFormat="1" ht="21.95" customHeight="1" x14ac:dyDescent="0.15">
      <c r="A105" s="218"/>
      <c r="B105" s="230"/>
      <c r="C105" s="230"/>
      <c r="D105" s="231"/>
      <c r="E105" s="232"/>
      <c r="F105" s="232"/>
      <c r="G105" s="233"/>
      <c r="H105" s="242">
        <v>23</v>
      </c>
      <c r="I105" s="256" t="s">
        <v>362</v>
      </c>
      <c r="J105" s="257">
        <v>13200</v>
      </c>
      <c r="K105" s="238" t="s">
        <v>39</v>
      </c>
      <c r="L105" s="246">
        <v>23</v>
      </c>
      <c r="M105" s="238"/>
      <c r="N105" s="258"/>
      <c r="O105" s="244">
        <f>J105*L105</f>
        <v>303600</v>
      </c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8"/>
      <c r="AA105" s="228"/>
      <c r="AB105" s="228"/>
      <c r="AC105" s="228"/>
      <c r="AD105" s="228"/>
      <c r="AE105" s="228"/>
      <c r="AF105" s="228"/>
      <c r="AG105" s="228"/>
      <c r="AH105" s="228"/>
      <c r="AI105" s="228"/>
      <c r="AJ105" s="228"/>
      <c r="AK105" s="228"/>
      <c r="AL105" s="228"/>
      <c r="AM105" s="228"/>
      <c r="AN105" s="228"/>
      <c r="AO105" s="228"/>
      <c r="AP105" s="228"/>
      <c r="AQ105" s="228"/>
      <c r="AR105" s="228"/>
    </row>
    <row r="106" spans="1:44" s="229" customFormat="1" ht="21.95" customHeight="1" x14ac:dyDescent="0.15">
      <c r="A106" s="218"/>
      <c r="B106" s="230"/>
      <c r="C106" s="230"/>
      <c r="D106" s="231"/>
      <c r="E106" s="232"/>
      <c r="F106" s="232"/>
      <c r="G106" s="233"/>
      <c r="H106" s="242">
        <v>24</v>
      </c>
      <c r="I106" s="256" t="s">
        <v>363</v>
      </c>
      <c r="J106" s="257">
        <v>14500</v>
      </c>
      <c r="K106" s="238" t="s">
        <v>39</v>
      </c>
      <c r="L106" s="246">
        <v>23</v>
      </c>
      <c r="M106" s="238"/>
      <c r="N106" s="258"/>
      <c r="O106" s="244">
        <f>J106*L106</f>
        <v>333500</v>
      </c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8"/>
      <c r="AA106" s="228"/>
      <c r="AB106" s="228"/>
      <c r="AC106" s="228"/>
      <c r="AD106" s="228"/>
      <c r="AE106" s="228"/>
      <c r="AF106" s="228"/>
      <c r="AG106" s="228"/>
      <c r="AH106" s="228"/>
      <c r="AI106" s="228"/>
      <c r="AJ106" s="228"/>
      <c r="AK106" s="228"/>
      <c r="AL106" s="228"/>
      <c r="AM106" s="228"/>
      <c r="AN106" s="228"/>
      <c r="AO106" s="228"/>
      <c r="AP106" s="228"/>
      <c r="AQ106" s="228"/>
      <c r="AR106" s="228"/>
    </row>
    <row r="107" spans="1:44" s="229" customFormat="1" ht="21.95" customHeight="1" x14ac:dyDescent="0.15">
      <c r="A107" s="218"/>
      <c r="B107" s="230"/>
      <c r="C107" s="230"/>
      <c r="D107" s="231"/>
      <c r="E107" s="232"/>
      <c r="F107" s="232"/>
      <c r="G107" s="233"/>
      <c r="H107" s="242">
        <v>25</v>
      </c>
      <c r="I107" s="256" t="s">
        <v>364</v>
      </c>
      <c r="J107" s="1003" t="s">
        <v>365</v>
      </c>
      <c r="K107" s="1003"/>
      <c r="L107" s="1003"/>
      <c r="M107" s="1003"/>
      <c r="N107" s="1003"/>
      <c r="O107" s="244">
        <v>6750120</v>
      </c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8"/>
      <c r="AA107" s="228"/>
      <c r="AB107" s="228"/>
      <c r="AC107" s="228"/>
      <c r="AD107" s="228"/>
      <c r="AE107" s="228"/>
      <c r="AF107" s="228"/>
      <c r="AG107" s="228"/>
      <c r="AH107" s="228"/>
      <c r="AI107" s="228"/>
      <c r="AJ107" s="228"/>
      <c r="AK107" s="228"/>
      <c r="AL107" s="228"/>
      <c r="AM107" s="228"/>
      <c r="AN107" s="228"/>
      <c r="AO107" s="228"/>
      <c r="AP107" s="228"/>
      <c r="AQ107" s="228"/>
      <c r="AR107" s="228"/>
    </row>
    <row r="108" spans="1:44" s="229" customFormat="1" ht="21.95" customHeight="1" x14ac:dyDescent="0.15">
      <c r="A108" s="218"/>
      <c r="B108" s="230"/>
      <c r="C108" s="230"/>
      <c r="D108" s="231"/>
      <c r="E108" s="232"/>
      <c r="F108" s="232"/>
      <c r="G108" s="233"/>
      <c r="H108" s="242">
        <v>26</v>
      </c>
      <c r="I108" s="256" t="s">
        <v>366</v>
      </c>
      <c r="J108" s="245"/>
      <c r="K108" s="238"/>
      <c r="L108" s="246"/>
      <c r="M108" s="238"/>
      <c r="N108" s="247"/>
      <c r="O108" s="244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8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</row>
    <row r="109" spans="1:44" s="229" customFormat="1" ht="21.95" customHeight="1" x14ac:dyDescent="0.15">
      <c r="A109" s="218"/>
      <c r="B109" s="230"/>
      <c r="C109" s="230"/>
      <c r="D109" s="231"/>
      <c r="E109" s="232"/>
      <c r="F109" s="232"/>
      <c r="G109" s="233"/>
      <c r="H109" s="242"/>
      <c r="I109" s="256" t="s">
        <v>367</v>
      </c>
      <c r="J109" s="245">
        <v>36300</v>
      </c>
      <c r="K109" s="238" t="s">
        <v>39</v>
      </c>
      <c r="L109" s="246">
        <v>23</v>
      </c>
      <c r="M109" s="238" t="s">
        <v>39</v>
      </c>
      <c r="N109" s="247">
        <v>0.1</v>
      </c>
      <c r="O109" s="244">
        <f>J109*L109*N109</f>
        <v>83490</v>
      </c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8"/>
      <c r="AA109" s="228"/>
      <c r="AB109" s="228"/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</row>
    <row r="110" spans="1:44" s="229" customFormat="1" ht="21.95" customHeight="1" x14ac:dyDescent="0.15">
      <c r="A110" s="218"/>
      <c r="B110" s="230"/>
      <c r="C110" s="230"/>
      <c r="D110" s="231"/>
      <c r="E110" s="232"/>
      <c r="F110" s="232"/>
      <c r="G110" s="233"/>
      <c r="H110" s="242"/>
      <c r="I110" s="256" t="s">
        <v>368</v>
      </c>
      <c r="J110" s="245">
        <v>36300</v>
      </c>
      <c r="K110" s="238" t="s">
        <v>39</v>
      </c>
      <c r="L110" s="246">
        <v>22</v>
      </c>
      <c r="M110" s="238" t="s">
        <v>39</v>
      </c>
      <c r="N110" s="247">
        <v>0.1</v>
      </c>
      <c r="O110" s="244">
        <f>J110*L110*N110</f>
        <v>79860</v>
      </c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8"/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</row>
    <row r="111" spans="1:44" s="229" customFormat="1" ht="21.95" customHeight="1" x14ac:dyDescent="0.15">
      <c r="A111" s="218"/>
      <c r="B111" s="230"/>
      <c r="C111" s="230"/>
      <c r="D111" s="231"/>
      <c r="E111" s="232"/>
      <c r="F111" s="232"/>
      <c r="G111" s="233"/>
      <c r="H111" s="242">
        <v>27</v>
      </c>
      <c r="I111" s="256" t="s">
        <v>369</v>
      </c>
      <c r="J111" s="245">
        <v>35394</v>
      </c>
      <c r="K111" s="238" t="s">
        <v>39</v>
      </c>
      <c r="L111" s="282">
        <v>22</v>
      </c>
      <c r="M111" s="238" t="s">
        <v>39</v>
      </c>
      <c r="N111" s="247">
        <v>0.1</v>
      </c>
      <c r="O111" s="244">
        <f>J111*L111*N111+3</f>
        <v>77869.8</v>
      </c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8"/>
      <c r="AA111" s="228"/>
      <c r="AB111" s="228"/>
      <c r="AC111" s="228"/>
      <c r="AD111" s="228"/>
      <c r="AE111" s="228"/>
      <c r="AF111" s="228"/>
      <c r="AG111" s="228"/>
      <c r="AH111" s="228"/>
      <c r="AI111" s="228"/>
      <c r="AJ111" s="228"/>
      <c r="AK111" s="228"/>
      <c r="AL111" s="228"/>
      <c r="AM111" s="228"/>
      <c r="AN111" s="228"/>
      <c r="AO111" s="228"/>
      <c r="AP111" s="228"/>
      <c r="AQ111" s="228"/>
      <c r="AR111" s="228"/>
    </row>
    <row r="112" spans="1:44" s="229" customFormat="1" ht="21.95" customHeight="1" thickBot="1" x14ac:dyDescent="0.2">
      <c r="A112" s="218"/>
      <c r="B112" s="230"/>
      <c r="C112" s="230"/>
      <c r="D112" s="231"/>
      <c r="E112" s="232"/>
      <c r="F112" s="232"/>
      <c r="G112" s="233"/>
      <c r="H112" s="242">
        <v>28</v>
      </c>
      <c r="I112" s="256" t="s">
        <v>370</v>
      </c>
      <c r="J112" s="257">
        <v>121700</v>
      </c>
      <c r="K112" s="238" t="s">
        <v>39</v>
      </c>
      <c r="L112" s="276" t="s">
        <v>344</v>
      </c>
      <c r="M112" s="238" t="s">
        <v>39</v>
      </c>
      <c r="N112" s="283">
        <v>12</v>
      </c>
      <c r="O112" s="244">
        <v>33954300</v>
      </c>
      <c r="P112" s="227"/>
      <c r="Q112" s="227"/>
      <c r="R112" s="227"/>
      <c r="S112" s="227"/>
      <c r="T112" s="227"/>
      <c r="U112" s="227"/>
      <c r="V112" s="227"/>
      <c r="W112" s="227"/>
      <c r="X112" s="227"/>
      <c r="Y112" s="227"/>
      <c r="Z112" s="228"/>
      <c r="AA112" s="228"/>
      <c r="AB112" s="228"/>
      <c r="AC112" s="228"/>
      <c r="AD112" s="228"/>
      <c r="AE112" s="228"/>
      <c r="AF112" s="228"/>
      <c r="AG112" s="228"/>
      <c r="AH112" s="228"/>
      <c r="AI112" s="228"/>
      <c r="AJ112" s="228"/>
      <c r="AK112" s="228"/>
      <c r="AL112" s="228"/>
      <c r="AM112" s="228"/>
      <c r="AN112" s="228"/>
      <c r="AO112" s="228"/>
      <c r="AP112" s="228"/>
      <c r="AQ112" s="228"/>
      <c r="AR112" s="228"/>
    </row>
    <row r="113" spans="1:47" s="229" customFormat="1" ht="21.95" customHeight="1" thickBot="1" x14ac:dyDescent="0.2">
      <c r="A113" s="1007" t="s">
        <v>146</v>
      </c>
      <c r="B113" s="1008"/>
      <c r="C113" s="1009"/>
      <c r="D113" s="213">
        <f>D114</f>
        <v>7200000</v>
      </c>
      <c r="E113" s="213">
        <f>E114</f>
        <v>28446850</v>
      </c>
      <c r="F113" s="213">
        <f>E113-D113</f>
        <v>21246850</v>
      </c>
      <c r="G113" s="284">
        <f>F113/D113*100</f>
        <v>295.09513888888887</v>
      </c>
      <c r="H113" s="214"/>
      <c r="I113" s="215"/>
      <c r="J113" s="661"/>
      <c r="K113" s="662"/>
      <c r="L113" s="663"/>
      <c r="M113" s="662"/>
      <c r="N113" s="664"/>
      <c r="O113" s="665">
        <f>O114</f>
        <v>28446850</v>
      </c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8"/>
      <c r="AA113" s="228"/>
      <c r="AB113" s="228"/>
      <c r="AC113" s="228"/>
      <c r="AD113" s="228"/>
      <c r="AE113" s="228"/>
      <c r="AF113" s="228"/>
      <c r="AG113" s="228"/>
      <c r="AH113" s="228"/>
      <c r="AI113" s="228"/>
      <c r="AJ113" s="228"/>
      <c r="AK113" s="228"/>
      <c r="AL113" s="228"/>
      <c r="AM113" s="228"/>
      <c r="AN113" s="228"/>
      <c r="AO113" s="228"/>
      <c r="AP113" s="228"/>
      <c r="AQ113" s="228"/>
      <c r="AR113" s="228"/>
    </row>
    <row r="114" spans="1:47" s="212" customFormat="1" ht="21.95" customHeight="1" x14ac:dyDescent="0.15">
      <c r="A114" s="285"/>
      <c r="B114" s="1010" t="s">
        <v>146</v>
      </c>
      <c r="C114" s="1011"/>
      <c r="D114" s="219">
        <f>SUM(D115:D125)</f>
        <v>7200000</v>
      </c>
      <c r="E114" s="219">
        <f>E115+E125</f>
        <v>28446850</v>
      </c>
      <c r="F114" s="219">
        <f>SUM(F115:F125)</f>
        <v>21246850</v>
      </c>
      <c r="G114" s="666">
        <f>F114/D114*100</f>
        <v>295.09513888888887</v>
      </c>
      <c r="H114" s="667"/>
      <c r="I114" s="286"/>
      <c r="J114" s="668"/>
      <c r="K114" s="286"/>
      <c r="L114" s="669"/>
      <c r="M114" s="286"/>
      <c r="N114" s="670"/>
      <c r="O114" s="607">
        <f>O115+O125</f>
        <v>28446850</v>
      </c>
      <c r="P114" s="210"/>
      <c r="Q114" s="210"/>
      <c r="R114" s="210"/>
      <c r="S114" s="210"/>
      <c r="T114" s="210"/>
      <c r="U114" s="210"/>
      <c r="V114" s="210"/>
      <c r="W114" s="210"/>
      <c r="X114" s="210"/>
      <c r="Y114" s="210"/>
      <c r="Z114" s="211"/>
      <c r="AA114" s="211"/>
      <c r="AB114" s="211"/>
      <c r="AC114" s="211"/>
      <c r="AD114" s="211"/>
      <c r="AE114" s="211"/>
      <c r="AF114" s="211"/>
      <c r="AG114" s="211"/>
      <c r="AH114" s="211"/>
      <c r="AI114" s="211"/>
      <c r="AJ114" s="211"/>
      <c r="AK114" s="211"/>
      <c r="AL114" s="211"/>
      <c r="AM114" s="211"/>
      <c r="AN114" s="211"/>
      <c r="AO114" s="211"/>
      <c r="AP114" s="211"/>
      <c r="AQ114" s="211"/>
      <c r="AR114" s="211"/>
    </row>
    <row r="115" spans="1:47" s="229" customFormat="1" ht="21.95" customHeight="1" x14ac:dyDescent="0.15">
      <c r="A115" s="218"/>
      <c r="B115" s="287"/>
      <c r="C115" s="671" t="s">
        <v>139</v>
      </c>
      <c r="D115" s="288">
        <v>1200000</v>
      </c>
      <c r="E115" s="252">
        <f>O115</f>
        <v>18446850</v>
      </c>
      <c r="F115" s="252">
        <f>E115-D115</f>
        <v>17246850</v>
      </c>
      <c r="G115" s="253">
        <f>F115/D115*100</f>
        <v>1437.2375</v>
      </c>
      <c r="H115" s="526"/>
      <c r="I115" s="522"/>
      <c r="J115" s="527"/>
      <c r="K115" s="528"/>
      <c r="L115" s="529"/>
      <c r="M115" s="239"/>
      <c r="N115" s="240"/>
      <c r="O115" s="789">
        <f>SUM(O116:O124)</f>
        <v>18446850</v>
      </c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8"/>
      <c r="AD115" s="228"/>
      <c r="AE115" s="228"/>
      <c r="AF115" s="228"/>
      <c r="AG115" s="228"/>
      <c r="AH115" s="228"/>
      <c r="AI115" s="228"/>
      <c r="AJ115" s="228"/>
      <c r="AK115" s="228"/>
      <c r="AL115" s="228"/>
      <c r="AM115" s="228"/>
      <c r="AN115" s="228"/>
      <c r="AO115" s="228"/>
      <c r="AP115" s="228"/>
      <c r="AQ115" s="228"/>
      <c r="AR115" s="228"/>
      <c r="AS115" s="228"/>
      <c r="AT115" s="228"/>
      <c r="AU115" s="228"/>
    </row>
    <row r="116" spans="1:47" s="229" customFormat="1" ht="21.95" customHeight="1" x14ac:dyDescent="0.15">
      <c r="A116" s="218"/>
      <c r="B116" s="291"/>
      <c r="C116" s="292"/>
      <c r="D116" s="293"/>
      <c r="E116" s="232"/>
      <c r="F116" s="232"/>
      <c r="G116" s="233"/>
      <c r="H116" s="521">
        <v>1</v>
      </c>
      <c r="I116" s="522" t="s">
        <v>208</v>
      </c>
      <c r="J116" s="527"/>
      <c r="K116" s="528"/>
      <c r="L116" s="529"/>
      <c r="M116" s="239"/>
      <c r="N116" s="240"/>
      <c r="O116" s="241">
        <v>1200000</v>
      </c>
      <c r="P116" s="227"/>
      <c r="Q116" s="227"/>
      <c r="R116" s="227"/>
      <c r="S116" s="227"/>
      <c r="T116" s="227"/>
      <c r="U116" s="227"/>
      <c r="V116" s="227"/>
      <c r="W116" s="227"/>
      <c r="X116" s="227"/>
      <c r="Y116" s="227"/>
      <c r="Z116" s="227"/>
      <c r="AA116" s="227"/>
      <c r="AB116" s="227"/>
      <c r="AC116" s="228"/>
      <c r="AD116" s="228"/>
      <c r="AE116" s="228"/>
      <c r="AF116" s="228"/>
      <c r="AG116" s="228"/>
      <c r="AH116" s="228"/>
      <c r="AI116" s="228"/>
      <c r="AJ116" s="228"/>
      <c r="AK116" s="228"/>
      <c r="AL116" s="228"/>
      <c r="AM116" s="228"/>
      <c r="AN116" s="228"/>
      <c r="AO116" s="228"/>
      <c r="AP116" s="228"/>
      <c r="AQ116" s="228"/>
      <c r="AR116" s="228"/>
      <c r="AS116" s="228"/>
      <c r="AT116" s="228"/>
      <c r="AU116" s="228"/>
    </row>
    <row r="117" spans="1:47" s="229" customFormat="1" ht="21.95" customHeight="1" thickBot="1" x14ac:dyDescent="0.2">
      <c r="A117" s="506"/>
      <c r="B117" s="797"/>
      <c r="C117" s="798"/>
      <c r="D117" s="799"/>
      <c r="E117" s="652"/>
      <c r="F117" s="652"/>
      <c r="G117" s="495"/>
      <c r="H117" s="800">
        <v>2</v>
      </c>
      <c r="I117" s="779" t="s">
        <v>395</v>
      </c>
      <c r="J117" s="801"/>
      <c r="K117" s="802"/>
      <c r="L117" s="803"/>
      <c r="M117" s="804"/>
      <c r="N117" s="805"/>
      <c r="O117" s="720">
        <v>600000</v>
      </c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27"/>
      <c r="AA117" s="227"/>
      <c r="AB117" s="227"/>
      <c r="AC117" s="228"/>
      <c r="AD117" s="228"/>
      <c r="AE117" s="228"/>
      <c r="AF117" s="228"/>
      <c r="AG117" s="228"/>
      <c r="AH117" s="228"/>
      <c r="AI117" s="228"/>
      <c r="AJ117" s="228"/>
      <c r="AK117" s="228"/>
      <c r="AL117" s="228"/>
      <c r="AM117" s="228"/>
      <c r="AN117" s="228"/>
      <c r="AO117" s="228"/>
      <c r="AP117" s="228"/>
      <c r="AQ117" s="228"/>
      <c r="AR117" s="228"/>
      <c r="AS117" s="228"/>
      <c r="AT117" s="228"/>
      <c r="AU117" s="228"/>
    </row>
    <row r="118" spans="1:47" s="229" customFormat="1" ht="21.95" customHeight="1" x14ac:dyDescent="0.15">
      <c r="A118" s="218"/>
      <c r="B118" s="291"/>
      <c r="C118" s="292"/>
      <c r="D118" s="293"/>
      <c r="E118" s="232"/>
      <c r="F118" s="232"/>
      <c r="G118" s="233"/>
      <c r="H118" s="783">
        <v>3</v>
      </c>
      <c r="I118" s="784" t="s">
        <v>438</v>
      </c>
      <c r="J118" s="785"/>
      <c r="K118" s="786"/>
      <c r="L118" s="787"/>
      <c r="M118" s="718"/>
      <c r="N118" s="719"/>
      <c r="O118" s="680">
        <v>2102850</v>
      </c>
      <c r="P118" s="227"/>
      <c r="Q118" s="227"/>
      <c r="R118" s="227"/>
      <c r="S118" s="227"/>
      <c r="T118" s="227"/>
      <c r="U118" s="227"/>
      <c r="V118" s="227"/>
      <c r="W118" s="227"/>
      <c r="X118" s="227"/>
      <c r="Y118" s="227"/>
      <c r="Z118" s="227"/>
      <c r="AA118" s="227"/>
      <c r="AB118" s="227"/>
      <c r="AC118" s="228"/>
      <c r="AD118" s="228"/>
      <c r="AE118" s="228"/>
      <c r="AF118" s="228"/>
      <c r="AG118" s="228"/>
      <c r="AH118" s="228"/>
      <c r="AI118" s="228"/>
      <c r="AJ118" s="228"/>
      <c r="AK118" s="228"/>
      <c r="AL118" s="228"/>
      <c r="AM118" s="228"/>
      <c r="AN118" s="228"/>
      <c r="AO118" s="228"/>
      <c r="AP118" s="228"/>
      <c r="AQ118" s="228"/>
      <c r="AR118" s="228"/>
      <c r="AS118" s="228"/>
      <c r="AT118" s="228"/>
      <c r="AU118" s="228"/>
    </row>
    <row r="119" spans="1:47" s="229" customFormat="1" ht="21.95" customHeight="1" x14ac:dyDescent="0.15">
      <c r="A119" s="218"/>
      <c r="B119" s="291"/>
      <c r="C119" s="292"/>
      <c r="D119" s="293"/>
      <c r="E119" s="232"/>
      <c r="F119" s="232"/>
      <c r="G119" s="233"/>
      <c r="H119" s="783">
        <v>4</v>
      </c>
      <c r="I119" s="784" t="s">
        <v>396</v>
      </c>
      <c r="J119" s="785"/>
      <c r="K119" s="786"/>
      <c r="L119" s="787"/>
      <c r="M119" s="718"/>
      <c r="N119" s="719"/>
      <c r="O119" s="680">
        <v>212000</v>
      </c>
      <c r="P119" s="227"/>
      <c r="Q119" s="227"/>
      <c r="R119" s="227"/>
      <c r="S119" s="227"/>
      <c r="T119" s="227"/>
      <c r="U119" s="227"/>
      <c r="V119" s="227"/>
      <c r="W119" s="227"/>
      <c r="X119" s="227"/>
      <c r="Y119" s="227"/>
      <c r="Z119" s="227"/>
      <c r="AA119" s="227"/>
      <c r="AB119" s="227"/>
      <c r="AC119" s="228"/>
      <c r="AD119" s="228"/>
      <c r="AE119" s="228"/>
      <c r="AF119" s="228"/>
      <c r="AG119" s="228"/>
      <c r="AH119" s="228"/>
      <c r="AI119" s="228"/>
      <c r="AJ119" s="228"/>
      <c r="AK119" s="228"/>
      <c r="AL119" s="228"/>
      <c r="AM119" s="228"/>
      <c r="AN119" s="228"/>
      <c r="AO119" s="228"/>
      <c r="AP119" s="228"/>
      <c r="AQ119" s="228"/>
      <c r="AR119" s="228"/>
      <c r="AS119" s="228"/>
      <c r="AT119" s="228"/>
      <c r="AU119" s="228"/>
    </row>
    <row r="120" spans="1:47" s="229" customFormat="1" ht="21.95" customHeight="1" x14ac:dyDescent="0.15">
      <c r="A120" s="218"/>
      <c r="B120" s="291"/>
      <c r="C120" s="292"/>
      <c r="D120" s="293"/>
      <c r="E120" s="232"/>
      <c r="F120" s="232"/>
      <c r="G120" s="233"/>
      <c r="H120" s="783">
        <v>5</v>
      </c>
      <c r="I120" s="784" t="s">
        <v>439</v>
      </c>
      <c r="J120" s="785" t="s">
        <v>397</v>
      </c>
      <c r="K120" s="786"/>
      <c r="L120" s="787" t="s">
        <v>398</v>
      </c>
      <c r="M120" s="718"/>
      <c r="N120" s="719"/>
      <c r="O120" s="680">
        <v>300000</v>
      </c>
      <c r="P120" s="227"/>
      <c r="Q120" s="227"/>
      <c r="R120" s="227"/>
      <c r="S120" s="227"/>
      <c r="T120" s="227"/>
      <c r="U120" s="227"/>
      <c r="V120" s="227"/>
      <c r="W120" s="227"/>
      <c r="X120" s="227"/>
      <c r="Y120" s="227"/>
      <c r="Z120" s="227"/>
      <c r="AA120" s="227"/>
      <c r="AB120" s="227"/>
      <c r="AC120" s="228"/>
      <c r="AD120" s="228"/>
      <c r="AE120" s="228"/>
      <c r="AF120" s="228"/>
      <c r="AG120" s="228"/>
      <c r="AH120" s="228"/>
      <c r="AI120" s="228"/>
      <c r="AJ120" s="228"/>
      <c r="AK120" s="228"/>
      <c r="AL120" s="228"/>
      <c r="AM120" s="228"/>
      <c r="AN120" s="228"/>
      <c r="AO120" s="228"/>
      <c r="AP120" s="228"/>
      <c r="AQ120" s="228"/>
      <c r="AR120" s="228"/>
      <c r="AS120" s="228"/>
      <c r="AT120" s="228"/>
      <c r="AU120" s="228"/>
    </row>
    <row r="121" spans="1:47" s="229" customFormat="1" ht="21.95" customHeight="1" x14ac:dyDescent="0.15">
      <c r="A121" s="218"/>
      <c r="B121" s="291"/>
      <c r="C121" s="292"/>
      <c r="D121" s="293"/>
      <c r="E121" s="232"/>
      <c r="F121" s="232"/>
      <c r="G121" s="233"/>
      <c r="H121" s="783">
        <v>6</v>
      </c>
      <c r="I121" s="784" t="s">
        <v>399</v>
      </c>
      <c r="J121" s="785"/>
      <c r="K121" s="786"/>
      <c r="L121" s="787"/>
      <c r="M121" s="718"/>
      <c r="N121" s="719"/>
      <c r="O121" s="680">
        <v>2892000</v>
      </c>
      <c r="P121" s="227"/>
      <c r="Q121" s="227"/>
      <c r="R121" s="227"/>
      <c r="S121" s="227"/>
      <c r="T121" s="227"/>
      <c r="U121" s="227"/>
      <c r="V121" s="227"/>
      <c r="W121" s="227"/>
      <c r="X121" s="227"/>
      <c r="Y121" s="227"/>
      <c r="Z121" s="227"/>
      <c r="AA121" s="227"/>
      <c r="AB121" s="227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</row>
    <row r="122" spans="1:47" s="229" customFormat="1" ht="21.95" customHeight="1" x14ac:dyDescent="0.15">
      <c r="A122" s="218"/>
      <c r="B122" s="291"/>
      <c r="C122" s="292"/>
      <c r="D122" s="293"/>
      <c r="E122" s="232"/>
      <c r="F122" s="232"/>
      <c r="G122" s="233"/>
      <c r="H122" s="783">
        <v>7</v>
      </c>
      <c r="I122" s="1041" t="s">
        <v>219</v>
      </c>
      <c r="J122" s="1041"/>
      <c r="K122" s="1041"/>
      <c r="L122" s="1041"/>
      <c r="M122" s="1041"/>
      <c r="N122" s="1041"/>
      <c r="O122" s="680">
        <v>3000000</v>
      </c>
      <c r="P122" s="227"/>
      <c r="Q122" s="227"/>
      <c r="R122" s="227"/>
      <c r="S122" s="227"/>
      <c r="T122" s="227"/>
      <c r="U122" s="227"/>
      <c r="V122" s="227"/>
      <c r="W122" s="227"/>
      <c r="X122" s="227"/>
      <c r="Y122" s="227"/>
      <c r="Z122" s="227"/>
      <c r="AA122" s="227"/>
      <c r="AB122" s="227"/>
      <c r="AC122" s="228"/>
      <c r="AD122" s="228"/>
      <c r="AE122" s="228"/>
      <c r="AF122" s="228"/>
      <c r="AG122" s="228"/>
      <c r="AH122" s="228"/>
      <c r="AI122" s="228"/>
      <c r="AJ122" s="228"/>
      <c r="AK122" s="228"/>
      <c r="AL122" s="228"/>
      <c r="AM122" s="228"/>
      <c r="AN122" s="228"/>
      <c r="AO122" s="228"/>
      <c r="AP122" s="228"/>
      <c r="AQ122" s="228"/>
      <c r="AR122" s="228"/>
      <c r="AS122" s="228"/>
      <c r="AT122" s="228"/>
      <c r="AU122" s="228"/>
    </row>
    <row r="123" spans="1:47" s="229" customFormat="1" ht="21.95" customHeight="1" x14ac:dyDescent="0.15">
      <c r="A123" s="218"/>
      <c r="B123" s="291"/>
      <c r="C123" s="292"/>
      <c r="D123" s="293"/>
      <c r="E123" s="232"/>
      <c r="F123" s="232"/>
      <c r="G123" s="233"/>
      <c r="H123" s="783">
        <v>8</v>
      </c>
      <c r="I123" s="1041" t="s">
        <v>220</v>
      </c>
      <c r="J123" s="1041"/>
      <c r="K123" s="1041"/>
      <c r="L123" s="1041"/>
      <c r="M123" s="1041"/>
      <c r="N123" s="1041"/>
      <c r="O123" s="680">
        <v>3150000</v>
      </c>
      <c r="P123" s="227"/>
      <c r="Q123" s="227"/>
      <c r="R123" s="227"/>
      <c r="S123" s="227"/>
      <c r="T123" s="227"/>
      <c r="U123" s="227"/>
      <c r="V123" s="227"/>
      <c r="W123" s="227"/>
      <c r="X123" s="227"/>
      <c r="Y123" s="227"/>
      <c r="Z123" s="227"/>
      <c r="AA123" s="227"/>
      <c r="AB123" s="227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</row>
    <row r="124" spans="1:47" s="229" customFormat="1" ht="21.95" customHeight="1" x14ac:dyDescent="0.15">
      <c r="A124" s="218"/>
      <c r="B124" s="291"/>
      <c r="C124" s="292"/>
      <c r="D124" s="293"/>
      <c r="E124" s="232"/>
      <c r="F124" s="232"/>
      <c r="G124" s="233"/>
      <c r="H124" s="783">
        <v>9</v>
      </c>
      <c r="I124" s="784" t="s">
        <v>208</v>
      </c>
      <c r="J124" s="788"/>
      <c r="K124" s="788"/>
      <c r="L124" s="788"/>
      <c r="M124" s="788"/>
      <c r="N124" s="788"/>
      <c r="O124" s="680">
        <v>4990000</v>
      </c>
      <c r="P124" s="227"/>
      <c r="Q124" s="227"/>
      <c r="R124" s="227"/>
      <c r="S124" s="227"/>
      <c r="T124" s="227"/>
      <c r="U124" s="227"/>
      <c r="V124" s="227"/>
      <c r="W124" s="227"/>
      <c r="X124" s="227"/>
      <c r="Y124" s="227"/>
      <c r="Z124" s="227"/>
      <c r="AA124" s="227"/>
      <c r="AB124" s="227"/>
      <c r="AC124" s="228"/>
      <c r="AD124" s="228"/>
      <c r="AE124" s="228"/>
      <c r="AF124" s="228"/>
      <c r="AG124" s="228"/>
      <c r="AH124" s="228"/>
      <c r="AI124" s="228"/>
      <c r="AJ124" s="228"/>
      <c r="AK124" s="228"/>
      <c r="AL124" s="228"/>
      <c r="AM124" s="228"/>
      <c r="AN124" s="228"/>
      <c r="AO124" s="228"/>
      <c r="AP124" s="228"/>
      <c r="AQ124" s="228"/>
      <c r="AR124" s="228"/>
      <c r="AS124" s="228"/>
      <c r="AT124" s="228"/>
      <c r="AU124" s="228"/>
    </row>
    <row r="125" spans="1:47" s="229" customFormat="1" ht="21.95" customHeight="1" x14ac:dyDescent="0.15">
      <c r="A125" s="218"/>
      <c r="B125" s="291"/>
      <c r="C125" s="672" t="s">
        <v>138</v>
      </c>
      <c r="D125" s="251">
        <v>6000000</v>
      </c>
      <c r="E125" s="252">
        <f>O125</f>
        <v>10000000</v>
      </c>
      <c r="F125" s="252">
        <f t="shared" ref="F125:F136" si="6">E125-D125</f>
        <v>4000000</v>
      </c>
      <c r="G125" s="253">
        <f>F125/D125*100</f>
        <v>66.666666666666657</v>
      </c>
      <c r="H125" s="526"/>
      <c r="I125" s="522"/>
      <c r="J125" s="527"/>
      <c r="K125" s="528"/>
      <c r="L125" s="529"/>
      <c r="M125" s="239"/>
      <c r="N125" s="240"/>
      <c r="O125" s="530">
        <v>10000000</v>
      </c>
      <c r="P125" s="227"/>
      <c r="Q125" s="227"/>
      <c r="R125" s="227"/>
      <c r="S125" s="227"/>
      <c r="T125" s="227"/>
      <c r="U125" s="227"/>
      <c r="V125" s="227"/>
      <c r="W125" s="227"/>
      <c r="X125" s="227"/>
      <c r="Y125" s="227"/>
      <c r="Z125" s="227"/>
      <c r="AA125" s="227"/>
      <c r="AB125" s="227"/>
      <c r="AC125" s="228"/>
      <c r="AD125" s="228"/>
      <c r="AE125" s="228"/>
      <c r="AF125" s="228"/>
      <c r="AG125" s="228"/>
      <c r="AH125" s="228"/>
      <c r="AI125" s="228"/>
      <c r="AJ125" s="228"/>
      <c r="AK125" s="228"/>
      <c r="AL125" s="228"/>
      <c r="AM125" s="228"/>
      <c r="AN125" s="228"/>
      <c r="AO125" s="228"/>
      <c r="AP125" s="228"/>
      <c r="AQ125" s="228"/>
      <c r="AR125" s="228"/>
      <c r="AS125" s="228"/>
      <c r="AT125" s="228"/>
      <c r="AU125" s="228"/>
    </row>
    <row r="126" spans="1:47" s="229" customFormat="1" ht="21.95" customHeight="1" thickBot="1" x14ac:dyDescent="0.2">
      <c r="A126" s="218"/>
      <c r="B126" s="291"/>
      <c r="C126" s="504"/>
      <c r="D126" s="231"/>
      <c r="E126" s="232"/>
      <c r="F126" s="232"/>
      <c r="G126" s="233"/>
      <c r="H126" s="780">
        <v>1</v>
      </c>
      <c r="I126" s="781" t="s">
        <v>223</v>
      </c>
      <c r="J126" s="1044" t="s">
        <v>283</v>
      </c>
      <c r="K126" s="1044"/>
      <c r="L126" s="1044"/>
      <c r="M126" s="1044"/>
      <c r="N126" s="1044"/>
      <c r="O126" s="782">
        <v>10000000</v>
      </c>
      <c r="P126" s="227"/>
      <c r="Q126" s="227"/>
      <c r="R126" s="227"/>
      <c r="S126" s="227"/>
      <c r="T126" s="227"/>
      <c r="U126" s="227"/>
      <c r="V126" s="227"/>
      <c r="W126" s="227"/>
      <c r="X126" s="227"/>
      <c r="Y126" s="227"/>
      <c r="Z126" s="227"/>
      <c r="AA126" s="227"/>
      <c r="AB126" s="227"/>
      <c r="AC126" s="228"/>
      <c r="AD126" s="228"/>
      <c r="AE126" s="228"/>
      <c r="AF126" s="228"/>
      <c r="AG126" s="228"/>
      <c r="AH126" s="228"/>
      <c r="AI126" s="228"/>
      <c r="AJ126" s="228"/>
      <c r="AK126" s="228"/>
      <c r="AL126" s="228"/>
      <c r="AM126" s="228"/>
      <c r="AN126" s="228"/>
      <c r="AO126" s="228"/>
      <c r="AP126" s="228"/>
      <c r="AQ126" s="228"/>
      <c r="AR126" s="228"/>
      <c r="AS126" s="228"/>
      <c r="AT126" s="228"/>
      <c r="AU126" s="228"/>
    </row>
    <row r="127" spans="1:47" s="229" customFormat="1" ht="21.95" customHeight="1" thickBot="1" x14ac:dyDescent="0.2">
      <c r="A127" s="1012" t="s">
        <v>129</v>
      </c>
      <c r="B127" s="1013"/>
      <c r="C127" s="1014"/>
      <c r="D127" s="213">
        <f>D128</f>
        <v>3600000</v>
      </c>
      <c r="E127" s="848">
        <f>E128</f>
        <v>4800000</v>
      </c>
      <c r="F127" s="848">
        <f t="shared" si="6"/>
        <v>1200000</v>
      </c>
      <c r="G127" s="849">
        <f>F127/D127*100</f>
        <v>33.333333333333329</v>
      </c>
      <c r="H127" s="850"/>
      <c r="I127" s="851"/>
      <c r="J127" s="852"/>
      <c r="K127" s="853"/>
      <c r="L127" s="853"/>
      <c r="M127" s="853"/>
      <c r="N127" s="854"/>
      <c r="O127" s="855">
        <f>O128</f>
        <v>4800000</v>
      </c>
      <c r="P127" s="227"/>
      <c r="Q127" s="227"/>
      <c r="R127" s="227"/>
      <c r="S127" s="227"/>
      <c r="T127" s="227"/>
      <c r="U127" s="227"/>
      <c r="V127" s="227"/>
      <c r="W127" s="227"/>
      <c r="X127" s="227"/>
      <c r="Y127" s="227"/>
      <c r="Z127" s="227"/>
      <c r="AA127" s="227"/>
      <c r="AB127" s="227"/>
      <c r="AC127" s="228"/>
      <c r="AD127" s="228"/>
      <c r="AE127" s="228"/>
      <c r="AF127" s="228"/>
      <c r="AG127" s="228"/>
      <c r="AH127" s="228"/>
      <c r="AI127" s="228"/>
      <c r="AJ127" s="228"/>
      <c r="AK127" s="228"/>
      <c r="AL127" s="228"/>
      <c r="AM127" s="228"/>
      <c r="AN127" s="228"/>
      <c r="AO127" s="228"/>
      <c r="AP127" s="228"/>
      <c r="AQ127" s="228"/>
      <c r="AR127" s="228"/>
      <c r="AS127" s="228"/>
      <c r="AT127" s="228"/>
      <c r="AU127" s="228"/>
    </row>
    <row r="128" spans="1:47" s="229" customFormat="1" ht="21.95" customHeight="1" x14ac:dyDescent="0.15">
      <c r="A128" s="840"/>
      <c r="B128" s="1015" t="s">
        <v>129</v>
      </c>
      <c r="C128" s="1016"/>
      <c r="D128" s="219">
        <f>SUM(D129:D131)</f>
        <v>3600000</v>
      </c>
      <c r="E128" s="856">
        <f>E129+E131</f>
        <v>4800000</v>
      </c>
      <c r="F128" s="857">
        <f t="shared" si="6"/>
        <v>1200000</v>
      </c>
      <c r="G128" s="858">
        <f>F128/D128*100</f>
        <v>33.333333333333329</v>
      </c>
      <c r="H128" s="859"/>
      <c r="I128" s="859"/>
      <c r="J128" s="860"/>
      <c r="K128" s="859"/>
      <c r="L128" s="859"/>
      <c r="M128" s="859"/>
      <c r="N128" s="861"/>
      <c r="O128" s="862">
        <f>O129+O131</f>
        <v>4800000</v>
      </c>
      <c r="P128" s="227"/>
      <c r="Q128" s="227"/>
      <c r="R128" s="227"/>
      <c r="S128" s="227"/>
      <c r="T128" s="227"/>
      <c r="U128" s="227"/>
      <c r="V128" s="227"/>
      <c r="W128" s="227"/>
      <c r="X128" s="227"/>
      <c r="Y128" s="227"/>
      <c r="Z128" s="227"/>
      <c r="AA128" s="227"/>
      <c r="AB128" s="227"/>
      <c r="AC128" s="228"/>
      <c r="AD128" s="228"/>
      <c r="AE128" s="228"/>
      <c r="AF128" s="228"/>
      <c r="AG128" s="228"/>
      <c r="AH128" s="228"/>
      <c r="AI128" s="228"/>
      <c r="AJ128" s="228"/>
      <c r="AK128" s="228"/>
      <c r="AL128" s="228"/>
      <c r="AM128" s="228"/>
      <c r="AN128" s="228"/>
      <c r="AO128" s="228"/>
      <c r="AP128" s="228"/>
      <c r="AQ128" s="228"/>
      <c r="AR128" s="228"/>
      <c r="AS128" s="228"/>
      <c r="AT128" s="228"/>
      <c r="AU128" s="228"/>
    </row>
    <row r="129" spans="1:47" s="229" customFormat="1" ht="21.95" customHeight="1" x14ac:dyDescent="0.15">
      <c r="A129" s="841"/>
      <c r="B129" s="842"/>
      <c r="C129" s="843" t="s">
        <v>201</v>
      </c>
      <c r="D129" s="659">
        <v>1200000</v>
      </c>
      <c r="E129" s="863">
        <f>O129</f>
        <v>0</v>
      </c>
      <c r="F129" s="863">
        <f t="shared" si="6"/>
        <v>-1200000</v>
      </c>
      <c r="G129" s="864"/>
      <c r="H129" s="865"/>
      <c r="I129" s="866"/>
      <c r="J129" s="867"/>
      <c r="K129" s="867"/>
      <c r="L129" s="867"/>
      <c r="M129" s="867"/>
      <c r="N129" s="867"/>
      <c r="O129" s="868">
        <f>O130</f>
        <v>0</v>
      </c>
      <c r="P129" s="227"/>
      <c r="Q129" s="227"/>
      <c r="R129" s="227"/>
      <c r="S129" s="227"/>
      <c r="T129" s="227"/>
      <c r="U129" s="227"/>
      <c r="V129" s="227"/>
      <c r="W129" s="227"/>
      <c r="X129" s="227"/>
      <c r="Y129" s="227"/>
      <c r="Z129" s="227"/>
      <c r="AA129" s="227"/>
      <c r="AB129" s="227"/>
      <c r="AC129" s="228"/>
      <c r="AD129" s="228"/>
      <c r="AE129" s="228"/>
      <c r="AF129" s="228"/>
      <c r="AG129" s="228"/>
      <c r="AH129" s="228"/>
      <c r="AI129" s="228"/>
      <c r="AJ129" s="228"/>
      <c r="AK129" s="228"/>
      <c r="AL129" s="228"/>
      <c r="AM129" s="228"/>
      <c r="AN129" s="228"/>
      <c r="AO129" s="228"/>
      <c r="AP129" s="228"/>
      <c r="AQ129" s="228"/>
      <c r="AR129" s="228"/>
      <c r="AS129" s="228"/>
      <c r="AT129" s="228"/>
      <c r="AU129" s="228"/>
    </row>
    <row r="130" spans="1:47" s="229" customFormat="1" ht="21.95" customHeight="1" x14ac:dyDescent="0.15">
      <c r="A130" s="841"/>
      <c r="B130" s="844"/>
      <c r="C130" s="845"/>
      <c r="D130" s="839"/>
      <c r="E130" s="869"/>
      <c r="F130" s="869"/>
      <c r="G130" s="870"/>
      <c r="H130" s="871">
        <v>1</v>
      </c>
      <c r="I130" s="1049" t="s">
        <v>435</v>
      </c>
      <c r="J130" s="1049"/>
      <c r="K130" s="1049"/>
      <c r="L130" s="1049"/>
      <c r="M130" s="1049"/>
      <c r="N130" s="1049"/>
      <c r="O130" s="872">
        <v>0</v>
      </c>
      <c r="P130" s="227"/>
      <c r="Q130" s="227"/>
      <c r="R130" s="227"/>
      <c r="S130" s="227"/>
      <c r="T130" s="227"/>
      <c r="U130" s="227"/>
      <c r="V130" s="227"/>
      <c r="W130" s="227"/>
      <c r="X130" s="227"/>
      <c r="Y130" s="227"/>
      <c r="Z130" s="227"/>
      <c r="AA130" s="227"/>
      <c r="AB130" s="227"/>
      <c r="AC130" s="228"/>
      <c r="AD130" s="228"/>
      <c r="AE130" s="228"/>
      <c r="AF130" s="228"/>
      <c r="AG130" s="228"/>
      <c r="AH130" s="228"/>
      <c r="AI130" s="228"/>
      <c r="AJ130" s="228"/>
      <c r="AK130" s="228"/>
      <c r="AL130" s="228"/>
      <c r="AM130" s="228"/>
      <c r="AN130" s="228"/>
      <c r="AO130" s="228"/>
      <c r="AP130" s="228"/>
      <c r="AQ130" s="228"/>
      <c r="AR130" s="228"/>
      <c r="AS130" s="228"/>
      <c r="AT130" s="228"/>
      <c r="AU130" s="228"/>
    </row>
    <row r="131" spans="1:47" s="229" customFormat="1" ht="27" customHeight="1" x14ac:dyDescent="0.15">
      <c r="A131" s="841"/>
      <c r="B131" s="846"/>
      <c r="C131" s="847" t="s">
        <v>213</v>
      </c>
      <c r="D131" s="231">
        <v>2400000</v>
      </c>
      <c r="E131" s="873">
        <f>O131</f>
        <v>4800000</v>
      </c>
      <c r="F131" s="873">
        <f t="shared" si="6"/>
        <v>2400000</v>
      </c>
      <c r="G131" s="874">
        <f>F131/D131*100</f>
        <v>100</v>
      </c>
      <c r="H131" s="875"/>
      <c r="I131" s="876"/>
      <c r="J131" s="785"/>
      <c r="K131" s="877"/>
      <c r="L131" s="877"/>
      <c r="M131" s="877"/>
      <c r="N131" s="878"/>
      <c r="O131" s="879">
        <f>SUM(O132:O133)</f>
        <v>4800000</v>
      </c>
      <c r="P131" s="227"/>
      <c r="Q131" s="227"/>
      <c r="R131" s="227"/>
      <c r="S131" s="227"/>
      <c r="T131" s="227"/>
      <c r="U131" s="227"/>
      <c r="V131" s="227"/>
      <c r="W131" s="227"/>
      <c r="X131" s="227"/>
      <c r="Y131" s="227"/>
      <c r="Z131" s="227"/>
      <c r="AA131" s="227"/>
      <c r="AB131" s="227"/>
      <c r="AC131" s="228"/>
      <c r="AD131" s="228"/>
      <c r="AE131" s="228"/>
      <c r="AF131" s="228"/>
      <c r="AG131" s="228"/>
      <c r="AH131" s="228"/>
      <c r="AI131" s="228"/>
      <c r="AJ131" s="228"/>
      <c r="AK131" s="228"/>
      <c r="AL131" s="228"/>
      <c r="AM131" s="228"/>
      <c r="AN131" s="228"/>
      <c r="AO131" s="228"/>
      <c r="AP131" s="228"/>
      <c r="AQ131" s="228"/>
      <c r="AR131" s="228"/>
      <c r="AS131" s="228"/>
      <c r="AT131" s="228"/>
      <c r="AU131" s="228"/>
    </row>
    <row r="132" spans="1:47" s="229" customFormat="1" ht="21.95" customHeight="1" x14ac:dyDescent="0.15">
      <c r="A132" s="307"/>
      <c r="B132" s="308"/>
      <c r="C132" s="318"/>
      <c r="D132" s="231"/>
      <c r="E132" s="232"/>
      <c r="F132" s="232"/>
      <c r="G132" s="233"/>
      <c r="H132" s="526">
        <v>1</v>
      </c>
      <c r="I132" s="1042" t="s">
        <v>221</v>
      </c>
      <c r="J132" s="1042"/>
      <c r="K132" s="1042"/>
      <c r="L132" s="1042"/>
      <c r="M132" s="1042"/>
      <c r="N132" s="1042"/>
      <c r="O132" s="533">
        <v>2400000</v>
      </c>
      <c r="P132" s="227"/>
      <c r="Q132" s="227"/>
      <c r="R132" s="227"/>
      <c r="S132" s="227"/>
      <c r="T132" s="227"/>
      <c r="U132" s="227"/>
      <c r="V132" s="227"/>
      <c r="W132" s="227"/>
      <c r="X132" s="227"/>
      <c r="Y132" s="227"/>
      <c r="Z132" s="227"/>
      <c r="AA132" s="227"/>
      <c r="AB132" s="227"/>
      <c r="AC132" s="228"/>
      <c r="AD132" s="228"/>
      <c r="AE132" s="228"/>
      <c r="AF132" s="228"/>
      <c r="AG132" s="228"/>
      <c r="AH132" s="228"/>
      <c r="AI132" s="228"/>
      <c r="AJ132" s="228"/>
      <c r="AK132" s="228"/>
      <c r="AL132" s="228"/>
      <c r="AM132" s="228"/>
      <c r="AN132" s="228"/>
      <c r="AO132" s="228"/>
      <c r="AP132" s="228"/>
      <c r="AQ132" s="228"/>
      <c r="AR132" s="228"/>
      <c r="AS132" s="228"/>
      <c r="AT132" s="228"/>
      <c r="AU132" s="228"/>
    </row>
    <row r="133" spans="1:47" s="229" customFormat="1" ht="21.95" customHeight="1" thickBot="1" x14ac:dyDescent="0.2">
      <c r="A133" s="307"/>
      <c r="B133" s="308"/>
      <c r="C133" s="318"/>
      <c r="D133" s="231"/>
      <c r="E133" s="232"/>
      <c r="F133" s="232"/>
      <c r="G133" s="233"/>
      <c r="H133" s="777">
        <v>2</v>
      </c>
      <c r="I133" s="1043" t="s">
        <v>222</v>
      </c>
      <c r="J133" s="1043"/>
      <c r="K133" s="1043"/>
      <c r="L133" s="1043"/>
      <c r="M133" s="1043"/>
      <c r="N133" s="1043"/>
      <c r="O133" s="778">
        <v>2400000</v>
      </c>
      <c r="P133" s="227"/>
      <c r="Q133" s="227"/>
      <c r="R133" s="227"/>
      <c r="S133" s="227"/>
      <c r="T133" s="227"/>
      <c r="U133" s="227"/>
      <c r="V133" s="227"/>
      <c r="W133" s="227"/>
      <c r="X133" s="227"/>
      <c r="Y133" s="227"/>
      <c r="Z133" s="227"/>
      <c r="AA133" s="227"/>
      <c r="AB133" s="227"/>
      <c r="AC133" s="228"/>
      <c r="AD133" s="228"/>
      <c r="AE133" s="228"/>
      <c r="AF133" s="228"/>
      <c r="AG133" s="228"/>
      <c r="AH133" s="228"/>
      <c r="AI133" s="228"/>
      <c r="AJ133" s="228"/>
      <c r="AK133" s="228"/>
      <c r="AL133" s="228"/>
      <c r="AM133" s="228"/>
      <c r="AN133" s="228"/>
      <c r="AO133" s="228"/>
      <c r="AP133" s="228"/>
      <c r="AQ133" s="228"/>
      <c r="AR133" s="228"/>
      <c r="AS133" s="228"/>
      <c r="AT133" s="228"/>
      <c r="AU133" s="228"/>
    </row>
    <row r="134" spans="1:47" s="229" customFormat="1" ht="21.95" customHeight="1" thickBot="1" x14ac:dyDescent="0.2">
      <c r="A134" s="1017" t="s">
        <v>147</v>
      </c>
      <c r="B134" s="1018"/>
      <c r="C134" s="1019"/>
      <c r="D134" s="213">
        <f>D135</f>
        <v>12677426</v>
      </c>
      <c r="E134" s="213">
        <f>E135</f>
        <v>12677426</v>
      </c>
      <c r="F134" s="213">
        <f t="shared" si="6"/>
        <v>0</v>
      </c>
      <c r="G134" s="284">
        <f>F134/D134*100</f>
        <v>0</v>
      </c>
      <c r="H134" s="296"/>
      <c r="I134" s="297"/>
      <c r="J134" s="298"/>
      <c r="K134" s="299"/>
      <c r="L134" s="299"/>
      <c r="M134" s="299"/>
      <c r="N134" s="300"/>
      <c r="O134" s="301">
        <f>O135</f>
        <v>12677426</v>
      </c>
      <c r="P134" s="227"/>
      <c r="Q134" s="227"/>
      <c r="R134" s="227"/>
      <c r="S134" s="227"/>
      <c r="T134" s="227"/>
      <c r="U134" s="227"/>
      <c r="V134" s="227"/>
      <c r="W134" s="227"/>
      <c r="X134" s="227"/>
      <c r="Y134" s="227"/>
      <c r="Z134" s="227"/>
      <c r="AA134" s="227"/>
      <c r="AB134" s="227"/>
      <c r="AC134" s="228"/>
      <c r="AD134" s="228"/>
      <c r="AE134" s="228"/>
      <c r="AF134" s="228"/>
      <c r="AG134" s="228"/>
      <c r="AH134" s="228"/>
      <c r="AI134" s="228"/>
      <c r="AJ134" s="228"/>
      <c r="AK134" s="228"/>
      <c r="AL134" s="228"/>
      <c r="AM134" s="228"/>
      <c r="AN134" s="228"/>
      <c r="AO134" s="228"/>
      <c r="AP134" s="228"/>
      <c r="AQ134" s="228"/>
      <c r="AR134" s="228"/>
      <c r="AS134" s="228"/>
      <c r="AT134" s="228"/>
      <c r="AU134" s="228"/>
    </row>
    <row r="135" spans="1:47" s="229" customFormat="1" ht="21.95" customHeight="1" x14ac:dyDescent="0.15">
      <c r="A135" s="302"/>
      <c r="B135" s="1005" t="s">
        <v>147</v>
      </c>
      <c r="C135" s="1006"/>
      <c r="D135" s="219">
        <f>D136+D137</f>
        <v>12677426</v>
      </c>
      <c r="E135" s="303">
        <f>E136+E137</f>
        <v>12677426</v>
      </c>
      <c r="F135" s="220">
        <f t="shared" si="6"/>
        <v>0</v>
      </c>
      <c r="G135" s="310">
        <f>F135/D135*100</f>
        <v>0</v>
      </c>
      <c r="H135" s="304"/>
      <c r="I135" s="304"/>
      <c r="J135" s="305"/>
      <c r="K135" s="304"/>
      <c r="L135" s="304"/>
      <c r="M135" s="304"/>
      <c r="N135" s="306"/>
      <c r="O135" s="311">
        <f>O136+O137</f>
        <v>12677426</v>
      </c>
      <c r="P135" s="227"/>
      <c r="Q135" s="227"/>
      <c r="R135" s="227"/>
      <c r="S135" s="227"/>
      <c r="T135" s="227"/>
      <c r="U135" s="227"/>
      <c r="V135" s="227"/>
      <c r="W135" s="227"/>
      <c r="X135" s="227"/>
      <c r="Y135" s="227"/>
      <c r="Z135" s="227"/>
      <c r="AA135" s="227"/>
      <c r="AB135" s="227"/>
      <c r="AC135" s="228"/>
      <c r="AD135" s="228"/>
      <c r="AE135" s="228"/>
      <c r="AF135" s="228"/>
      <c r="AG135" s="228"/>
      <c r="AH135" s="228"/>
      <c r="AI135" s="228"/>
      <c r="AJ135" s="228"/>
      <c r="AK135" s="228"/>
      <c r="AL135" s="228"/>
      <c r="AM135" s="228"/>
      <c r="AN135" s="228"/>
      <c r="AO135" s="228"/>
      <c r="AP135" s="228"/>
      <c r="AQ135" s="228"/>
      <c r="AR135" s="228"/>
      <c r="AS135" s="228"/>
      <c r="AT135" s="228"/>
      <c r="AU135" s="228"/>
    </row>
    <row r="136" spans="1:47" s="229" customFormat="1" ht="21.95" customHeight="1" x14ac:dyDescent="0.15">
      <c r="A136" s="307"/>
      <c r="B136" s="308"/>
      <c r="C136" s="309" t="s">
        <v>136</v>
      </c>
      <c r="D136" s="251">
        <v>651852</v>
      </c>
      <c r="E136" s="232">
        <f>O136</f>
        <v>651852</v>
      </c>
      <c r="F136" s="232">
        <f t="shared" si="6"/>
        <v>0</v>
      </c>
      <c r="G136" s="253">
        <f>F136/D136*100</f>
        <v>0</v>
      </c>
      <c r="H136" s="526"/>
      <c r="I136" s="522"/>
      <c r="J136" s="527"/>
      <c r="K136" s="531"/>
      <c r="L136" s="531"/>
      <c r="M136" s="531"/>
      <c r="N136" s="532"/>
      <c r="O136" s="533">
        <v>651852</v>
      </c>
      <c r="P136" s="227"/>
      <c r="Q136" s="227"/>
      <c r="R136" s="227"/>
      <c r="S136" s="227"/>
      <c r="T136" s="227"/>
      <c r="U136" s="227"/>
      <c r="V136" s="227"/>
      <c r="W136" s="227"/>
      <c r="X136" s="227"/>
      <c r="Y136" s="227"/>
      <c r="Z136" s="227"/>
      <c r="AA136" s="227"/>
      <c r="AB136" s="227"/>
      <c r="AC136" s="228"/>
      <c r="AD136" s="228"/>
      <c r="AE136" s="228"/>
      <c r="AF136" s="228"/>
      <c r="AG136" s="228"/>
      <c r="AH136" s="228"/>
      <c r="AI136" s="228"/>
      <c r="AJ136" s="228"/>
      <c r="AK136" s="228"/>
      <c r="AL136" s="228"/>
      <c r="AM136" s="228"/>
      <c r="AN136" s="228"/>
      <c r="AO136" s="228"/>
      <c r="AP136" s="228"/>
      <c r="AQ136" s="228"/>
      <c r="AR136" s="228"/>
      <c r="AS136" s="228"/>
      <c r="AT136" s="228"/>
      <c r="AU136" s="228"/>
    </row>
    <row r="137" spans="1:47" s="229" customFormat="1" ht="29.25" customHeight="1" thickBot="1" x14ac:dyDescent="0.2">
      <c r="A137" s="307"/>
      <c r="B137" s="308"/>
      <c r="C137" s="315" t="s">
        <v>151</v>
      </c>
      <c r="D137" s="251">
        <v>12025574</v>
      </c>
      <c r="E137" s="252">
        <f>O137</f>
        <v>12025574</v>
      </c>
      <c r="F137" s="252">
        <f t="shared" ref="F137:F143" si="7">E137-D137</f>
        <v>0</v>
      </c>
      <c r="G137" s="253">
        <f t="shared" ref="G137:G143" si="8">F137/D137*100</f>
        <v>0</v>
      </c>
      <c r="H137" s="234"/>
      <c r="I137" s="316"/>
      <c r="J137" s="289"/>
      <c r="K137" s="290"/>
      <c r="L137" s="317"/>
      <c r="M137" s="312"/>
      <c r="N137" s="313"/>
      <c r="O137" s="314">
        <v>12025574</v>
      </c>
      <c r="P137" s="227"/>
      <c r="Q137" s="227"/>
      <c r="R137" s="227"/>
      <c r="S137" s="227"/>
      <c r="T137" s="227"/>
      <c r="U137" s="227"/>
      <c r="V137" s="227"/>
      <c r="W137" s="227"/>
      <c r="X137" s="227"/>
      <c r="Y137" s="227"/>
      <c r="Z137" s="227"/>
      <c r="AA137" s="227"/>
      <c r="AB137" s="227"/>
      <c r="AC137" s="228"/>
      <c r="AD137" s="228"/>
      <c r="AE137" s="228"/>
      <c r="AF137" s="228"/>
      <c r="AG137" s="228"/>
      <c r="AH137" s="228"/>
      <c r="AI137" s="228"/>
      <c r="AJ137" s="228"/>
      <c r="AK137" s="228"/>
      <c r="AL137" s="228"/>
      <c r="AM137" s="228"/>
      <c r="AN137" s="228"/>
      <c r="AO137" s="228"/>
      <c r="AP137" s="228"/>
      <c r="AQ137" s="228"/>
      <c r="AR137" s="228"/>
      <c r="AS137" s="228"/>
      <c r="AT137" s="228"/>
      <c r="AU137" s="228"/>
    </row>
    <row r="138" spans="1:47" s="229" customFormat="1" ht="21.95" customHeight="1" thickBot="1" x14ac:dyDescent="0.2">
      <c r="A138" s="1007" t="s">
        <v>148</v>
      </c>
      <c r="B138" s="1008"/>
      <c r="C138" s="1009"/>
      <c r="D138" s="213">
        <f>D139</f>
        <v>8740684</v>
      </c>
      <c r="E138" s="213">
        <f>E139</f>
        <v>8893834</v>
      </c>
      <c r="F138" s="213">
        <f t="shared" si="7"/>
        <v>153150</v>
      </c>
      <c r="G138" s="284">
        <f t="shared" si="8"/>
        <v>1.7521512046425658</v>
      </c>
      <c r="H138" s="214"/>
      <c r="I138" s="215"/>
      <c r="J138" s="216"/>
      <c r="K138" s="215"/>
      <c r="L138" s="215"/>
      <c r="M138" s="215"/>
      <c r="N138" s="217"/>
      <c r="O138" s="587">
        <f>O139</f>
        <v>8893834</v>
      </c>
      <c r="P138" s="227"/>
      <c r="Q138" s="227"/>
      <c r="R138" s="227"/>
      <c r="S138" s="227"/>
      <c r="T138" s="227"/>
      <c r="U138" s="227"/>
      <c r="V138" s="227"/>
      <c r="W138" s="227"/>
      <c r="X138" s="227"/>
      <c r="Y138" s="227"/>
      <c r="Z138" s="227"/>
      <c r="AA138" s="227"/>
      <c r="AB138" s="227"/>
      <c r="AC138" s="228"/>
      <c r="AD138" s="228"/>
      <c r="AE138" s="228"/>
      <c r="AF138" s="228"/>
      <c r="AG138" s="228"/>
      <c r="AH138" s="228"/>
      <c r="AI138" s="228"/>
      <c r="AJ138" s="228"/>
      <c r="AK138" s="228"/>
      <c r="AL138" s="228"/>
      <c r="AM138" s="228"/>
      <c r="AN138" s="228"/>
      <c r="AO138" s="228"/>
      <c r="AP138" s="228"/>
      <c r="AQ138" s="228"/>
      <c r="AR138" s="228"/>
      <c r="AS138" s="228"/>
      <c r="AT138" s="228"/>
      <c r="AU138" s="228"/>
    </row>
    <row r="139" spans="1:47" s="229" customFormat="1" ht="21.95" customHeight="1" x14ac:dyDescent="0.15">
      <c r="A139" s="285"/>
      <c r="B139" s="1010" t="str">
        <f>A138</f>
        <v>잡수입</v>
      </c>
      <c r="C139" s="1011"/>
      <c r="D139" s="219">
        <f>D140+D143+D142</f>
        <v>8740684</v>
      </c>
      <c r="E139" s="219">
        <f>E140+E143+E142</f>
        <v>8893834</v>
      </c>
      <c r="F139" s="219">
        <f t="shared" si="7"/>
        <v>153150</v>
      </c>
      <c r="G139" s="666">
        <f t="shared" si="8"/>
        <v>1.7521512046425658</v>
      </c>
      <c r="H139" s="673"/>
      <c r="I139" s="286"/>
      <c r="J139" s="668"/>
      <c r="K139" s="286"/>
      <c r="L139" s="286"/>
      <c r="M139" s="286"/>
      <c r="N139" s="670"/>
      <c r="O139" s="607">
        <f>O140+O142+O143</f>
        <v>8893834</v>
      </c>
      <c r="P139" s="227"/>
      <c r="Q139" s="227"/>
      <c r="R139" s="227"/>
      <c r="S139" s="227"/>
      <c r="T139" s="227"/>
      <c r="U139" s="227"/>
      <c r="V139" s="227"/>
      <c r="W139" s="227"/>
      <c r="X139" s="227"/>
      <c r="Y139" s="227"/>
      <c r="Z139" s="227"/>
      <c r="AA139" s="227"/>
      <c r="AB139" s="227"/>
      <c r="AC139" s="228"/>
      <c r="AD139" s="228"/>
      <c r="AE139" s="228"/>
      <c r="AF139" s="228"/>
      <c r="AG139" s="228"/>
      <c r="AH139" s="228"/>
      <c r="AI139" s="228"/>
      <c r="AJ139" s="228"/>
      <c r="AK139" s="228"/>
      <c r="AL139" s="228"/>
      <c r="AM139" s="228"/>
      <c r="AN139" s="228"/>
      <c r="AO139" s="228"/>
      <c r="AP139" s="228"/>
      <c r="AQ139" s="228"/>
      <c r="AR139" s="228"/>
      <c r="AS139" s="228"/>
      <c r="AT139" s="228"/>
      <c r="AU139" s="228"/>
    </row>
    <row r="140" spans="1:47" s="229" customFormat="1" ht="21.95" customHeight="1" thickBot="1" x14ac:dyDescent="0.2">
      <c r="A140" s="506"/>
      <c r="B140" s="806"/>
      <c r="C140" s="508" t="s">
        <v>137</v>
      </c>
      <c r="D140" s="509">
        <v>100000</v>
      </c>
      <c r="E140" s="510">
        <f>O140</f>
        <v>253150</v>
      </c>
      <c r="F140" s="510">
        <f t="shared" si="7"/>
        <v>153150</v>
      </c>
      <c r="G140" s="511">
        <f t="shared" si="8"/>
        <v>153.15</v>
      </c>
      <c r="H140" s="885"/>
      <c r="I140" s="513"/>
      <c r="J140" s="886"/>
      <c r="K140" s="513"/>
      <c r="L140" s="513"/>
      <c r="M140" s="513"/>
      <c r="N140" s="887"/>
      <c r="O140" s="888">
        <v>253150</v>
      </c>
      <c r="P140" s="227"/>
      <c r="Q140" s="227"/>
      <c r="R140" s="227"/>
      <c r="S140" s="227"/>
      <c r="T140" s="227"/>
      <c r="U140" s="227"/>
      <c r="V140" s="227"/>
      <c r="W140" s="227"/>
      <c r="X140" s="227"/>
      <c r="Y140" s="227"/>
      <c r="Z140" s="227"/>
      <c r="AA140" s="227"/>
      <c r="AB140" s="227"/>
      <c r="AC140" s="228"/>
      <c r="AD140" s="228"/>
      <c r="AE140" s="228"/>
      <c r="AF140" s="228"/>
      <c r="AG140" s="228"/>
      <c r="AH140" s="228"/>
      <c r="AI140" s="228"/>
      <c r="AJ140" s="228"/>
      <c r="AK140" s="228"/>
      <c r="AL140" s="228"/>
      <c r="AM140" s="228"/>
      <c r="AN140" s="228"/>
      <c r="AO140" s="228"/>
      <c r="AP140" s="228"/>
      <c r="AQ140" s="228"/>
      <c r="AR140" s="228"/>
      <c r="AS140" s="228"/>
      <c r="AT140" s="228"/>
      <c r="AU140" s="228"/>
    </row>
    <row r="141" spans="1:47" s="229" customFormat="1" ht="21.95" customHeight="1" x14ac:dyDescent="0.15">
      <c r="A141" s="218"/>
      <c r="B141" s="503"/>
      <c r="C141" s="321"/>
      <c r="D141" s="231"/>
      <c r="E141" s="232"/>
      <c r="F141" s="232"/>
      <c r="G141" s="320"/>
      <c r="H141" s="875">
        <v>1</v>
      </c>
      <c r="I141" s="1002" t="s">
        <v>284</v>
      </c>
      <c r="J141" s="1002"/>
      <c r="K141" s="1002"/>
      <c r="L141" s="1002"/>
      <c r="M141" s="1002"/>
      <c r="N141" s="1002"/>
      <c r="O141" s="884">
        <v>253150</v>
      </c>
      <c r="P141" s="227"/>
      <c r="Q141" s="227"/>
      <c r="R141" s="227"/>
      <c r="S141" s="227"/>
      <c r="T141" s="227"/>
      <c r="U141" s="227"/>
      <c r="V141" s="227"/>
      <c r="W141" s="227"/>
      <c r="X141" s="227"/>
      <c r="Y141" s="227"/>
      <c r="Z141" s="227"/>
      <c r="AA141" s="227"/>
      <c r="AB141" s="227"/>
      <c r="AC141" s="228"/>
      <c r="AD141" s="228"/>
      <c r="AE141" s="228"/>
      <c r="AF141" s="228"/>
      <c r="AG141" s="228"/>
      <c r="AH141" s="228"/>
      <c r="AI141" s="228"/>
      <c r="AJ141" s="228"/>
      <c r="AK141" s="228"/>
      <c r="AL141" s="228"/>
      <c r="AM141" s="228"/>
      <c r="AN141" s="228"/>
      <c r="AO141" s="228"/>
      <c r="AP141" s="228"/>
      <c r="AQ141" s="228"/>
      <c r="AR141" s="228"/>
      <c r="AS141" s="228"/>
      <c r="AT141" s="228"/>
      <c r="AU141" s="228"/>
    </row>
    <row r="142" spans="1:47" s="229" customFormat="1" ht="27" customHeight="1" x14ac:dyDescent="0.15">
      <c r="A142" s="218"/>
      <c r="B142" s="503"/>
      <c r="C142" s="880" t="s">
        <v>214</v>
      </c>
      <c r="D142" s="251">
        <v>22884</v>
      </c>
      <c r="E142" s="252">
        <f>O142</f>
        <v>22884</v>
      </c>
      <c r="F142" s="252">
        <f t="shared" si="7"/>
        <v>0</v>
      </c>
      <c r="G142" s="647">
        <f t="shared" si="8"/>
        <v>0</v>
      </c>
      <c r="H142" s="234"/>
      <c r="I142" s="881"/>
      <c r="J142" s="289"/>
      <c r="K142" s="881"/>
      <c r="L142" s="881"/>
      <c r="M142" s="881"/>
      <c r="N142" s="882"/>
      <c r="O142" s="883">
        <v>22884</v>
      </c>
      <c r="P142" s="227"/>
      <c r="Q142" s="227"/>
      <c r="R142" s="227"/>
      <c r="S142" s="227"/>
      <c r="T142" s="227"/>
      <c r="U142" s="227"/>
      <c r="V142" s="227"/>
      <c r="W142" s="227"/>
      <c r="X142" s="227"/>
      <c r="Y142" s="227"/>
      <c r="Z142" s="227"/>
      <c r="AA142" s="227"/>
      <c r="AB142" s="227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</row>
    <row r="143" spans="1:47" s="229" customFormat="1" ht="21.95" customHeight="1" thickBot="1" x14ac:dyDescent="0.2">
      <c r="A143" s="506"/>
      <c r="B143" s="507"/>
      <c r="C143" s="508" t="s">
        <v>149</v>
      </c>
      <c r="D143" s="509">
        <v>8617800</v>
      </c>
      <c r="E143" s="510">
        <f>O143</f>
        <v>8617800</v>
      </c>
      <c r="F143" s="510">
        <f t="shared" si="7"/>
        <v>0</v>
      </c>
      <c r="G143" s="511">
        <f t="shared" si="8"/>
        <v>0</v>
      </c>
      <c r="H143" s="512"/>
      <c r="I143" s="513"/>
      <c r="J143" s="514"/>
      <c r="K143" s="515"/>
      <c r="L143" s="515"/>
      <c r="M143" s="515"/>
      <c r="N143" s="516"/>
      <c r="O143" s="517">
        <v>8617800</v>
      </c>
      <c r="P143" s="227"/>
      <c r="Q143" s="227"/>
      <c r="R143" s="227"/>
      <c r="S143" s="227"/>
      <c r="T143" s="227"/>
      <c r="U143" s="227"/>
      <c r="V143" s="227"/>
      <c r="W143" s="227"/>
      <c r="X143" s="227"/>
      <c r="Y143" s="227"/>
      <c r="Z143" s="227"/>
      <c r="AA143" s="227"/>
      <c r="AB143" s="227"/>
      <c r="AC143" s="228"/>
      <c r="AD143" s="228"/>
      <c r="AE143" s="228"/>
      <c r="AF143" s="228"/>
      <c r="AG143" s="228"/>
      <c r="AH143" s="228"/>
      <c r="AI143" s="228"/>
      <c r="AJ143" s="228"/>
      <c r="AK143" s="228"/>
      <c r="AL143" s="228"/>
      <c r="AM143" s="228"/>
      <c r="AN143" s="228"/>
      <c r="AO143" s="228"/>
      <c r="AP143" s="228"/>
      <c r="AQ143" s="228"/>
      <c r="AR143" s="228"/>
      <c r="AS143" s="228"/>
      <c r="AT143" s="228"/>
      <c r="AU143" s="228"/>
    </row>
    <row r="144" spans="1:47" s="229" customFormat="1" ht="24" customHeight="1" x14ac:dyDescent="0.2">
      <c r="A144" s="177"/>
      <c r="B144" s="177"/>
      <c r="C144" s="178"/>
      <c r="D144" s="197"/>
      <c r="E144" s="198"/>
      <c r="F144" s="198"/>
      <c r="G144" s="171"/>
      <c r="H144" s="172"/>
      <c r="I144" s="179"/>
      <c r="J144" s="173"/>
      <c r="K144" s="497"/>
      <c r="L144" s="174"/>
      <c r="M144" s="175"/>
      <c r="N144" s="176"/>
      <c r="O144" s="175"/>
      <c r="P144" s="227"/>
      <c r="Q144" s="227"/>
      <c r="R144" s="227"/>
      <c r="S144" s="227"/>
      <c r="T144" s="227"/>
      <c r="U144" s="227"/>
      <c r="V144" s="227"/>
      <c r="W144" s="227"/>
      <c r="X144" s="227"/>
      <c r="Y144" s="227"/>
      <c r="Z144" s="227"/>
      <c r="AA144" s="227"/>
      <c r="AB144" s="227"/>
      <c r="AC144" s="228"/>
      <c r="AD144" s="228"/>
      <c r="AE144" s="228"/>
      <c r="AF144" s="228"/>
      <c r="AG144" s="228"/>
      <c r="AH144" s="228"/>
      <c r="AI144" s="228"/>
      <c r="AJ144" s="228"/>
      <c r="AK144" s="228"/>
      <c r="AL144" s="228"/>
      <c r="AM144" s="228"/>
      <c r="AN144" s="228"/>
      <c r="AO144" s="228"/>
      <c r="AP144" s="228"/>
      <c r="AQ144" s="228"/>
      <c r="AR144" s="228"/>
      <c r="AS144" s="228"/>
      <c r="AT144" s="228"/>
      <c r="AU144" s="228"/>
    </row>
    <row r="145" spans="1:47" s="133" customFormat="1" ht="23.1" customHeight="1" x14ac:dyDescent="0.2">
      <c r="A145" s="135"/>
      <c r="B145" s="136"/>
      <c r="C145" s="136"/>
      <c r="D145" s="199"/>
      <c r="E145" s="199"/>
      <c r="F145" s="200"/>
      <c r="G145" s="137"/>
      <c r="H145" s="138"/>
      <c r="I145" s="139"/>
      <c r="J145" s="136"/>
      <c r="K145" s="136"/>
      <c r="L145" s="136"/>
      <c r="M145" s="136"/>
      <c r="N145" s="137"/>
      <c r="O145" s="140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6"/>
      <c r="AD145" s="146"/>
      <c r="AE145" s="146"/>
      <c r="AF145" s="146"/>
      <c r="AG145" s="146"/>
      <c r="AH145" s="146"/>
      <c r="AI145" s="146"/>
      <c r="AJ145" s="146"/>
      <c r="AK145" s="146"/>
      <c r="AL145" s="146"/>
      <c r="AM145" s="146"/>
      <c r="AN145" s="146"/>
      <c r="AO145" s="146"/>
      <c r="AP145" s="146"/>
      <c r="AQ145" s="146"/>
      <c r="AR145" s="146"/>
      <c r="AS145" s="146"/>
      <c r="AT145" s="146"/>
      <c r="AU145" s="146"/>
    </row>
  </sheetData>
  <mergeCells count="31">
    <mergeCell ref="A5:C5"/>
    <mergeCell ref="B6:C6"/>
    <mergeCell ref="I122:N122"/>
    <mergeCell ref="I132:N132"/>
    <mergeCell ref="I133:N133"/>
    <mergeCell ref="J126:N126"/>
    <mergeCell ref="I123:N123"/>
    <mergeCell ref="A9:C9"/>
    <mergeCell ref="B10:C10"/>
    <mergeCell ref="I8:N8"/>
    <mergeCell ref="I130:N130"/>
    <mergeCell ref="A4:C4"/>
    <mergeCell ref="A2:A3"/>
    <mergeCell ref="C2:C3"/>
    <mergeCell ref="B2:B3"/>
    <mergeCell ref="H2:O3"/>
    <mergeCell ref="D2:D3"/>
    <mergeCell ref="E2:E3"/>
    <mergeCell ref="F2:G2"/>
    <mergeCell ref="I141:N141"/>
    <mergeCell ref="J13:N13"/>
    <mergeCell ref="J86:N86"/>
    <mergeCell ref="J107:N107"/>
    <mergeCell ref="B135:C135"/>
    <mergeCell ref="A138:C138"/>
    <mergeCell ref="B139:C139"/>
    <mergeCell ref="A127:C127"/>
    <mergeCell ref="A113:C113"/>
    <mergeCell ref="B114:C114"/>
    <mergeCell ref="B128:C128"/>
    <mergeCell ref="A134:C134"/>
  </mergeCells>
  <phoneticPr fontId="28" type="noConversion"/>
  <printOptions horizontalCentered="1"/>
  <pageMargins left="0.78740157480314965" right="0.78740157480314965" top="1.1811023622047245" bottom="0.98425196850393704" header="0" footer="0"/>
  <pageSetup paperSize="9" scale="77" firstPageNumber="33" fitToHeight="0" orientation="landscape" useFirstPageNumber="1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20"/>
  <sheetViews>
    <sheetView tabSelected="1" topLeftCell="A130" zoomScale="87" zoomScaleNormal="87" zoomScaleSheetLayoutView="85" workbookViewId="0">
      <selection activeCell="P144" sqref="P144"/>
    </sheetView>
  </sheetViews>
  <sheetFormatPr defaultRowHeight="18" customHeight="1" x14ac:dyDescent="0.15"/>
  <cols>
    <col min="1" max="2" width="4.77734375" style="127" customWidth="1"/>
    <col min="3" max="3" width="13.77734375" style="127" customWidth="1"/>
    <col min="4" max="5" width="11.77734375" style="193" customWidth="1"/>
    <col min="6" max="6" width="11.77734375" style="194" customWidth="1"/>
    <col min="7" max="7" width="8.77734375" style="181" customWidth="1"/>
    <col min="8" max="8" width="3.77734375" style="128" customWidth="1"/>
    <col min="9" max="9" width="22.77734375" style="129" customWidth="1"/>
    <col min="10" max="10" width="13.77734375" style="130" customWidth="1"/>
    <col min="11" max="11" width="3.77734375" style="130" customWidth="1"/>
    <col min="12" max="12" width="6.77734375" style="129" customWidth="1"/>
    <col min="13" max="13" width="3.77734375" style="127" customWidth="1"/>
    <col min="14" max="14" width="6.77734375" style="127" customWidth="1"/>
    <col min="15" max="15" width="15.77734375" style="127" customWidth="1"/>
    <col min="16" max="16384" width="8.88671875" style="131"/>
  </cols>
  <sheetData>
    <row r="1" spans="1:15" s="125" customFormat="1" ht="21.95" customHeight="1" thickBot="1" x14ac:dyDescent="0.2">
      <c r="A1" s="567" t="s">
        <v>230</v>
      </c>
      <c r="B1" s="568"/>
      <c r="C1" s="568"/>
      <c r="D1" s="569"/>
      <c r="E1" s="570"/>
      <c r="F1" s="571"/>
      <c r="G1" s="572"/>
      <c r="H1" s="573"/>
      <c r="I1" s="151"/>
      <c r="J1" s="574"/>
      <c r="K1" s="574"/>
      <c r="L1" s="151"/>
      <c r="M1" s="575"/>
      <c r="N1" s="575"/>
      <c r="O1" s="576" t="s">
        <v>37</v>
      </c>
    </row>
    <row r="2" spans="1:15" s="190" customFormat="1" ht="21.95" customHeight="1" x14ac:dyDescent="0.15">
      <c r="A2" s="1076" t="str">
        <f>[1]세입!A2</f>
        <v>관</v>
      </c>
      <c r="B2" s="1025" t="str">
        <f>[1]세입!B2</f>
        <v>항</v>
      </c>
      <c r="C2" s="1025" t="str">
        <f>[1]세입!C2</f>
        <v>목</v>
      </c>
      <c r="D2" s="1033" t="s">
        <v>277</v>
      </c>
      <c r="E2" s="1033" t="s">
        <v>278</v>
      </c>
      <c r="F2" s="1025" t="str">
        <f>[1]세입!F2</f>
        <v>증감(B)-(A)</v>
      </c>
      <c r="G2" s="1025"/>
      <c r="H2" s="1067" t="str">
        <f>[1]세입!H2</f>
        <v>예산산출내역</v>
      </c>
      <c r="I2" s="1068"/>
      <c r="J2" s="1068"/>
      <c r="K2" s="1068"/>
      <c r="L2" s="1068"/>
      <c r="M2" s="1068"/>
      <c r="N2" s="1068"/>
      <c r="O2" s="1069"/>
    </row>
    <row r="3" spans="1:15" s="190" customFormat="1" ht="21.95" customHeight="1" x14ac:dyDescent="0.15">
      <c r="A3" s="1077"/>
      <c r="B3" s="1026"/>
      <c r="C3" s="1026"/>
      <c r="D3" s="1034"/>
      <c r="E3" s="1034"/>
      <c r="F3" s="518" t="str">
        <f>[1]세입!F3</f>
        <v>액수</v>
      </c>
      <c r="G3" s="518" t="str">
        <f>[1]세입!G3</f>
        <v>비율(%)</v>
      </c>
      <c r="H3" s="1070"/>
      <c r="I3" s="1071"/>
      <c r="J3" s="1071"/>
      <c r="K3" s="1071"/>
      <c r="L3" s="1071"/>
      <c r="M3" s="1071"/>
      <c r="N3" s="1071"/>
      <c r="O3" s="1072"/>
    </row>
    <row r="4" spans="1:15" s="191" customFormat="1" ht="21.95" customHeight="1" thickBot="1" x14ac:dyDescent="0.2">
      <c r="A4" s="1073" t="s">
        <v>38</v>
      </c>
      <c r="B4" s="1074"/>
      <c r="C4" s="1075"/>
      <c r="D4" s="209">
        <f>D5+D106+D117+D188+D191</f>
        <v>762300000</v>
      </c>
      <c r="E4" s="209">
        <f>E5+E106+E117+E188+E191</f>
        <v>786099999.7912811</v>
      </c>
      <c r="F4" s="577">
        <f>E4-D4</f>
        <v>23799999.791281104</v>
      </c>
      <c r="G4" s="578">
        <f>F4/D4*100</f>
        <v>3.1221303674775158</v>
      </c>
      <c r="H4" s="579"/>
      <c r="I4" s="580"/>
      <c r="J4" s="581"/>
      <c r="K4" s="581"/>
      <c r="L4" s="582"/>
      <c r="M4" s="581"/>
      <c r="N4" s="583"/>
      <c r="O4" s="584">
        <f>O5+O106+O117+O188+O191</f>
        <v>786099999.7912811</v>
      </c>
    </row>
    <row r="5" spans="1:15" s="191" customFormat="1" ht="21.95" customHeight="1" thickBot="1" x14ac:dyDescent="0.2">
      <c r="A5" s="1055" t="s">
        <v>161</v>
      </c>
      <c r="B5" s="1056"/>
      <c r="C5" s="1057"/>
      <c r="D5" s="585">
        <f>D6+D76+D78</f>
        <v>612034340</v>
      </c>
      <c r="E5" s="585">
        <f>E6+E76+E78</f>
        <v>612034339.7912811</v>
      </c>
      <c r="F5" s="213">
        <f>E5-D5</f>
        <v>-0.20871889591217041</v>
      </c>
      <c r="G5" s="323">
        <f>F5/D5*100</f>
        <v>-3.4102481228777201E-8</v>
      </c>
      <c r="H5" s="372"/>
      <c r="I5" s="215"/>
      <c r="J5" s="374"/>
      <c r="K5" s="374"/>
      <c r="L5" s="381"/>
      <c r="M5" s="374"/>
      <c r="N5" s="586"/>
      <c r="O5" s="587">
        <f>O6+O76+O78</f>
        <v>612034339.7912811</v>
      </c>
    </row>
    <row r="6" spans="1:15" s="190" customFormat="1" ht="21.95" customHeight="1" x14ac:dyDescent="0.15">
      <c r="A6" s="218"/>
      <c r="B6" s="1053" t="s">
        <v>231</v>
      </c>
      <c r="C6" s="1054"/>
      <c r="D6" s="588">
        <f>SUM(D7:D75)</f>
        <v>586456040</v>
      </c>
      <c r="E6" s="588">
        <f>SUM(E7:E75)</f>
        <v>586456039.7912811</v>
      </c>
      <c r="F6" s="588">
        <f>E6-D6</f>
        <v>-0.20871889591217041</v>
      </c>
      <c r="G6" s="324">
        <f>F6/D6*100</f>
        <v>-3.5589862099837939E-8</v>
      </c>
      <c r="H6" s="383"/>
      <c r="I6" s="222"/>
      <c r="J6" s="589"/>
      <c r="K6" s="589"/>
      <c r="L6" s="385"/>
      <c r="M6" s="589"/>
      <c r="N6" s="590"/>
      <c r="O6" s="591">
        <f>O7+O36+O66+O67+O69+O75</f>
        <v>586456039.7912811</v>
      </c>
    </row>
    <row r="7" spans="1:15" s="190" customFormat="1" ht="21.95" customHeight="1" x14ac:dyDescent="0.15">
      <c r="A7" s="218"/>
      <c r="B7" s="250"/>
      <c r="C7" s="250" t="s">
        <v>42</v>
      </c>
      <c r="D7" s="251">
        <v>372545110</v>
      </c>
      <c r="E7" s="251">
        <f>O7</f>
        <v>372545110</v>
      </c>
      <c r="F7" s="252">
        <f>E7-D7</f>
        <v>0</v>
      </c>
      <c r="G7" s="253">
        <f>F7/D7*100</f>
        <v>0</v>
      </c>
      <c r="H7" s="364"/>
      <c r="I7" s="365"/>
      <c r="J7" s="398"/>
      <c r="K7" s="398"/>
      <c r="L7" s="592"/>
      <c r="M7" s="398"/>
      <c r="N7" s="524"/>
      <c r="O7" s="556">
        <f>SUM(O8:O35)</f>
        <v>372545110</v>
      </c>
    </row>
    <row r="8" spans="1:15" s="190" customFormat="1" ht="21.95" customHeight="1" x14ac:dyDescent="0.15">
      <c r="A8" s="218"/>
      <c r="B8" s="230"/>
      <c r="C8" s="230"/>
      <c r="D8" s="231"/>
      <c r="E8" s="231"/>
      <c r="F8" s="232"/>
      <c r="G8" s="233"/>
      <c r="H8" s="521"/>
      <c r="I8" s="469" t="s">
        <v>294</v>
      </c>
      <c r="J8" s="366">
        <v>3824800</v>
      </c>
      <c r="K8" s="367" t="s">
        <v>39</v>
      </c>
      <c r="L8" s="399">
        <v>1</v>
      </c>
      <c r="M8" s="367" t="s">
        <v>39</v>
      </c>
      <c r="N8" s="566">
        <v>9</v>
      </c>
      <c r="O8" s="730">
        <f>J8*L8*N8</f>
        <v>34423200</v>
      </c>
    </row>
    <row r="9" spans="1:15" s="190" customFormat="1" ht="21.95" customHeight="1" x14ac:dyDescent="0.15">
      <c r="A9" s="218"/>
      <c r="B9" s="230"/>
      <c r="C9" s="230"/>
      <c r="D9" s="231"/>
      <c r="E9" s="231"/>
      <c r="F9" s="232"/>
      <c r="G9" s="233"/>
      <c r="H9" s="242"/>
      <c r="I9" s="259" t="s">
        <v>295</v>
      </c>
      <c r="J9" s="260">
        <v>3892900</v>
      </c>
      <c r="K9" s="238" t="s">
        <v>39</v>
      </c>
      <c r="L9" s="261">
        <v>1</v>
      </c>
      <c r="M9" s="238" t="s">
        <v>39</v>
      </c>
      <c r="N9" s="262">
        <v>3</v>
      </c>
      <c r="O9" s="263">
        <f>J9*L9*N9</f>
        <v>11678700</v>
      </c>
    </row>
    <row r="10" spans="1:15" s="190" customFormat="1" ht="21.95" customHeight="1" x14ac:dyDescent="0.15">
      <c r="A10" s="218"/>
      <c r="B10" s="230"/>
      <c r="C10" s="230"/>
      <c r="D10" s="231"/>
      <c r="E10" s="231"/>
      <c r="F10" s="232"/>
      <c r="G10" s="233"/>
      <c r="H10" s="242"/>
      <c r="I10" s="259" t="s">
        <v>296</v>
      </c>
      <c r="J10" s="260">
        <v>3101900</v>
      </c>
      <c r="K10" s="238" t="s">
        <v>39</v>
      </c>
      <c r="L10" s="261">
        <v>1</v>
      </c>
      <c r="M10" s="238" t="s">
        <v>39</v>
      </c>
      <c r="N10" s="262">
        <v>3</v>
      </c>
      <c r="O10" s="263">
        <f t="shared" ref="O10:O34" si="0">J10*L10*N10</f>
        <v>9305700</v>
      </c>
    </row>
    <row r="11" spans="1:15" s="190" customFormat="1" ht="21.95" customHeight="1" x14ac:dyDescent="0.15">
      <c r="A11" s="218"/>
      <c r="B11" s="230"/>
      <c r="C11" s="230"/>
      <c r="D11" s="231"/>
      <c r="E11" s="231"/>
      <c r="F11" s="232"/>
      <c r="G11" s="233"/>
      <c r="H11" s="242"/>
      <c r="I11" s="259" t="s">
        <v>297</v>
      </c>
      <c r="J11" s="260">
        <v>3162500</v>
      </c>
      <c r="K11" s="238" t="s">
        <v>39</v>
      </c>
      <c r="L11" s="261">
        <v>1</v>
      </c>
      <c r="M11" s="238" t="s">
        <v>39</v>
      </c>
      <c r="N11" s="262">
        <v>9</v>
      </c>
      <c r="O11" s="263">
        <f t="shared" si="0"/>
        <v>28462500</v>
      </c>
    </row>
    <row r="12" spans="1:15" s="190" customFormat="1" ht="21.95" customHeight="1" x14ac:dyDescent="0.15">
      <c r="A12" s="218"/>
      <c r="B12" s="230"/>
      <c r="C12" s="230"/>
      <c r="D12" s="231"/>
      <c r="E12" s="231"/>
      <c r="F12" s="232"/>
      <c r="G12" s="233"/>
      <c r="H12" s="242"/>
      <c r="I12" s="259" t="s">
        <v>298</v>
      </c>
      <c r="J12" s="260">
        <v>3021700</v>
      </c>
      <c r="K12" s="238" t="s">
        <v>39</v>
      </c>
      <c r="L12" s="261">
        <v>1</v>
      </c>
      <c r="M12" s="238" t="s">
        <v>39</v>
      </c>
      <c r="N12" s="262">
        <v>9</v>
      </c>
      <c r="O12" s="263">
        <f t="shared" si="0"/>
        <v>27195300</v>
      </c>
    </row>
    <row r="13" spans="1:15" s="190" customFormat="1" ht="21.95" customHeight="1" x14ac:dyDescent="0.15">
      <c r="A13" s="218"/>
      <c r="B13" s="230"/>
      <c r="C13" s="230"/>
      <c r="D13" s="231"/>
      <c r="E13" s="231"/>
      <c r="F13" s="232"/>
      <c r="G13" s="233"/>
      <c r="H13" s="242"/>
      <c r="I13" s="259" t="s">
        <v>299</v>
      </c>
      <c r="J13" s="260">
        <v>3111500</v>
      </c>
      <c r="K13" s="238" t="s">
        <v>39</v>
      </c>
      <c r="L13" s="261">
        <v>1</v>
      </c>
      <c r="M13" s="238" t="s">
        <v>39</v>
      </c>
      <c r="N13" s="262">
        <v>3</v>
      </c>
      <c r="O13" s="263">
        <f t="shared" si="0"/>
        <v>9334500</v>
      </c>
    </row>
    <row r="14" spans="1:15" s="190" customFormat="1" ht="21.95" customHeight="1" x14ac:dyDescent="0.15">
      <c r="A14" s="218"/>
      <c r="B14" s="230"/>
      <c r="C14" s="230"/>
      <c r="D14" s="231"/>
      <c r="E14" s="231"/>
      <c r="F14" s="232"/>
      <c r="G14" s="233"/>
      <c r="H14" s="242"/>
      <c r="I14" s="259" t="s">
        <v>300</v>
      </c>
      <c r="J14" s="260">
        <v>2444000</v>
      </c>
      <c r="K14" s="238" t="s">
        <v>39</v>
      </c>
      <c r="L14" s="261">
        <v>1</v>
      </c>
      <c r="M14" s="238" t="s">
        <v>39</v>
      </c>
      <c r="N14" s="262">
        <v>2</v>
      </c>
      <c r="O14" s="263">
        <f t="shared" si="0"/>
        <v>4888000</v>
      </c>
    </row>
    <row r="15" spans="1:15" s="190" customFormat="1" ht="21.95" customHeight="1" x14ac:dyDescent="0.15">
      <c r="A15" s="218"/>
      <c r="B15" s="230"/>
      <c r="C15" s="230"/>
      <c r="D15" s="231"/>
      <c r="E15" s="231"/>
      <c r="F15" s="232"/>
      <c r="G15" s="233"/>
      <c r="H15" s="242"/>
      <c r="I15" s="259" t="s">
        <v>301</v>
      </c>
      <c r="J15" s="260">
        <v>1967900</v>
      </c>
      <c r="K15" s="238" t="s">
        <v>39</v>
      </c>
      <c r="L15" s="261">
        <v>1</v>
      </c>
      <c r="M15" s="238" t="s">
        <v>39</v>
      </c>
      <c r="N15" s="262">
        <v>10</v>
      </c>
      <c r="O15" s="263">
        <f t="shared" si="0"/>
        <v>19679000</v>
      </c>
    </row>
    <row r="16" spans="1:15" s="190" customFormat="1" ht="21.95" customHeight="1" x14ac:dyDescent="0.15">
      <c r="A16" s="218"/>
      <c r="B16" s="230"/>
      <c r="C16" s="230"/>
      <c r="D16" s="231"/>
      <c r="E16" s="231"/>
      <c r="F16" s="232"/>
      <c r="G16" s="233"/>
      <c r="H16" s="242"/>
      <c r="I16" s="259" t="s">
        <v>302</v>
      </c>
      <c r="J16" s="260">
        <v>2028200</v>
      </c>
      <c r="K16" s="238" t="s">
        <v>39</v>
      </c>
      <c r="L16" s="261">
        <v>1</v>
      </c>
      <c r="M16" s="238" t="s">
        <v>39</v>
      </c>
      <c r="N16" s="262">
        <v>2</v>
      </c>
      <c r="O16" s="263">
        <f t="shared" si="0"/>
        <v>4056400</v>
      </c>
    </row>
    <row r="17" spans="1:15" s="190" customFormat="1" ht="21.95" customHeight="1" x14ac:dyDescent="0.15">
      <c r="A17" s="218"/>
      <c r="B17" s="230"/>
      <c r="C17" s="230"/>
      <c r="D17" s="231"/>
      <c r="E17" s="231"/>
      <c r="F17" s="232"/>
      <c r="G17" s="233"/>
      <c r="H17" s="242"/>
      <c r="I17" s="259" t="s">
        <v>303</v>
      </c>
      <c r="J17" s="260">
        <v>2175500</v>
      </c>
      <c r="K17" s="238" t="s">
        <v>39</v>
      </c>
      <c r="L17" s="261">
        <v>1</v>
      </c>
      <c r="M17" s="238" t="s">
        <v>39</v>
      </c>
      <c r="N17" s="262">
        <v>2</v>
      </c>
      <c r="O17" s="263">
        <f t="shared" si="0"/>
        <v>4351000</v>
      </c>
    </row>
    <row r="18" spans="1:15" s="190" customFormat="1" ht="21.95" customHeight="1" x14ac:dyDescent="0.15">
      <c r="A18" s="218"/>
      <c r="B18" s="230"/>
      <c r="C18" s="230"/>
      <c r="D18" s="231"/>
      <c r="E18" s="231"/>
      <c r="F18" s="232"/>
      <c r="G18" s="233"/>
      <c r="H18" s="242"/>
      <c r="I18" s="259" t="s">
        <v>304</v>
      </c>
      <c r="J18" s="260">
        <v>2266300</v>
      </c>
      <c r="K18" s="238" t="s">
        <v>39</v>
      </c>
      <c r="L18" s="261">
        <v>1</v>
      </c>
      <c r="M18" s="238" t="s">
        <v>39</v>
      </c>
      <c r="N18" s="262">
        <v>10</v>
      </c>
      <c r="O18" s="263">
        <f t="shared" si="0"/>
        <v>22663000</v>
      </c>
    </row>
    <row r="19" spans="1:15" s="190" customFormat="1" ht="21.95" customHeight="1" x14ac:dyDescent="0.15">
      <c r="A19" s="218"/>
      <c r="B19" s="230"/>
      <c r="C19" s="230"/>
      <c r="D19" s="231"/>
      <c r="E19" s="231"/>
      <c r="F19" s="232"/>
      <c r="G19" s="233"/>
      <c r="H19" s="242"/>
      <c r="I19" s="259" t="s">
        <v>301</v>
      </c>
      <c r="J19" s="260">
        <v>1967900</v>
      </c>
      <c r="K19" s="238" t="s">
        <v>39</v>
      </c>
      <c r="L19" s="261">
        <v>1</v>
      </c>
      <c r="M19" s="238" t="s">
        <v>39</v>
      </c>
      <c r="N19" s="262">
        <v>5</v>
      </c>
      <c r="O19" s="263">
        <f t="shared" si="0"/>
        <v>9839500</v>
      </c>
    </row>
    <row r="20" spans="1:15" s="190" customFormat="1" ht="21.95" customHeight="1" x14ac:dyDescent="0.15">
      <c r="A20" s="218"/>
      <c r="B20" s="230"/>
      <c r="C20" s="230"/>
      <c r="D20" s="231"/>
      <c r="E20" s="231"/>
      <c r="F20" s="232"/>
      <c r="G20" s="233"/>
      <c r="H20" s="242"/>
      <c r="I20" s="259" t="s">
        <v>302</v>
      </c>
      <c r="J20" s="260">
        <v>2028200</v>
      </c>
      <c r="K20" s="238" t="s">
        <v>39</v>
      </c>
      <c r="L20" s="261">
        <v>1</v>
      </c>
      <c r="M20" s="238" t="s">
        <v>39</v>
      </c>
      <c r="N20" s="262">
        <v>7</v>
      </c>
      <c r="O20" s="263">
        <f t="shared" si="0"/>
        <v>14197400</v>
      </c>
    </row>
    <row r="21" spans="1:15" s="190" customFormat="1" ht="21.95" customHeight="1" x14ac:dyDescent="0.15">
      <c r="A21" s="218"/>
      <c r="B21" s="230"/>
      <c r="C21" s="230"/>
      <c r="D21" s="231"/>
      <c r="E21" s="231"/>
      <c r="F21" s="232"/>
      <c r="G21" s="233"/>
      <c r="H21" s="242"/>
      <c r="I21" s="259" t="s">
        <v>305</v>
      </c>
      <c r="J21" s="260">
        <v>1832100</v>
      </c>
      <c r="K21" s="238" t="s">
        <v>39</v>
      </c>
      <c r="L21" s="261">
        <v>1</v>
      </c>
      <c r="M21" s="238" t="s">
        <v>39</v>
      </c>
      <c r="N21" s="262">
        <v>1</v>
      </c>
      <c r="O21" s="263">
        <f t="shared" si="0"/>
        <v>1832100</v>
      </c>
    </row>
    <row r="22" spans="1:15" s="190" customFormat="1" ht="21.95" customHeight="1" x14ac:dyDescent="0.15">
      <c r="A22" s="218"/>
      <c r="B22" s="230"/>
      <c r="C22" s="230"/>
      <c r="D22" s="231"/>
      <c r="E22" s="231"/>
      <c r="F22" s="232"/>
      <c r="G22" s="233"/>
      <c r="H22" s="242"/>
      <c r="I22" s="259" t="s">
        <v>306</v>
      </c>
      <c r="J22" s="260">
        <v>1243210</v>
      </c>
      <c r="K22" s="238" t="s">
        <v>39</v>
      </c>
      <c r="L22" s="261">
        <v>1</v>
      </c>
      <c r="M22" s="238" t="s">
        <v>39</v>
      </c>
      <c r="N22" s="262">
        <v>1</v>
      </c>
      <c r="O22" s="263">
        <f t="shared" si="0"/>
        <v>1243210</v>
      </c>
    </row>
    <row r="23" spans="1:15" s="190" customFormat="1" ht="21.95" customHeight="1" x14ac:dyDescent="0.15">
      <c r="A23" s="218"/>
      <c r="B23" s="230"/>
      <c r="C23" s="230"/>
      <c r="D23" s="231"/>
      <c r="E23" s="231"/>
      <c r="F23" s="232"/>
      <c r="G23" s="233"/>
      <c r="H23" s="242"/>
      <c r="I23" s="259" t="s">
        <v>305</v>
      </c>
      <c r="J23" s="260">
        <v>1832100</v>
      </c>
      <c r="K23" s="238" t="s">
        <v>39</v>
      </c>
      <c r="L23" s="261">
        <v>1</v>
      </c>
      <c r="M23" s="238" t="s">
        <v>39</v>
      </c>
      <c r="N23" s="262">
        <v>9</v>
      </c>
      <c r="O23" s="263">
        <f t="shared" si="0"/>
        <v>16488900</v>
      </c>
    </row>
    <row r="24" spans="1:15" s="190" customFormat="1" ht="21.95" customHeight="1" thickBot="1" x14ac:dyDescent="0.2">
      <c r="A24" s="506"/>
      <c r="B24" s="507"/>
      <c r="C24" s="507"/>
      <c r="D24" s="651"/>
      <c r="E24" s="651"/>
      <c r="F24" s="652"/>
      <c r="G24" s="495"/>
      <c r="H24" s="746"/>
      <c r="I24" s="675" t="s">
        <v>307</v>
      </c>
      <c r="J24" s="751">
        <v>1861300</v>
      </c>
      <c r="K24" s="752" t="s">
        <v>39</v>
      </c>
      <c r="L24" s="468">
        <v>1</v>
      </c>
      <c r="M24" s="752" t="s">
        <v>39</v>
      </c>
      <c r="N24" s="768">
        <v>3</v>
      </c>
      <c r="O24" s="769">
        <f t="shared" si="0"/>
        <v>5583900</v>
      </c>
    </row>
    <row r="25" spans="1:15" s="190" customFormat="1" ht="21.95" customHeight="1" x14ac:dyDescent="0.15">
      <c r="A25" s="218"/>
      <c r="B25" s="230"/>
      <c r="C25" s="230"/>
      <c r="D25" s="231"/>
      <c r="E25" s="231"/>
      <c r="F25" s="232"/>
      <c r="G25" s="233"/>
      <c r="H25" s="242"/>
      <c r="I25" s="259" t="s">
        <v>308</v>
      </c>
      <c r="J25" s="260">
        <v>531800</v>
      </c>
      <c r="K25" s="238" t="s">
        <v>39</v>
      </c>
      <c r="L25" s="261">
        <v>1</v>
      </c>
      <c r="M25" s="238" t="s">
        <v>39</v>
      </c>
      <c r="N25" s="262">
        <v>1</v>
      </c>
      <c r="O25" s="263">
        <f t="shared" si="0"/>
        <v>531800</v>
      </c>
    </row>
    <row r="26" spans="1:15" s="190" customFormat="1" ht="21.95" customHeight="1" x14ac:dyDescent="0.15">
      <c r="A26" s="218"/>
      <c r="B26" s="230"/>
      <c r="C26" s="230"/>
      <c r="D26" s="231"/>
      <c r="E26" s="231"/>
      <c r="F26" s="232"/>
      <c r="G26" s="233"/>
      <c r="H26" s="242"/>
      <c r="I26" s="259" t="s">
        <v>307</v>
      </c>
      <c r="J26" s="260">
        <v>1861300</v>
      </c>
      <c r="K26" s="238" t="s">
        <v>39</v>
      </c>
      <c r="L26" s="261">
        <v>1</v>
      </c>
      <c r="M26" s="238" t="s">
        <v>39</v>
      </c>
      <c r="N26" s="262">
        <v>1</v>
      </c>
      <c r="O26" s="263">
        <f t="shared" si="0"/>
        <v>1861300</v>
      </c>
    </row>
    <row r="27" spans="1:15" s="190" customFormat="1" ht="21.95" customHeight="1" x14ac:dyDescent="0.15">
      <c r="A27" s="218"/>
      <c r="B27" s="230"/>
      <c r="C27" s="230"/>
      <c r="D27" s="231"/>
      <c r="E27" s="231"/>
      <c r="F27" s="232"/>
      <c r="G27" s="233"/>
      <c r="H27" s="242"/>
      <c r="I27" s="259" t="s">
        <v>309</v>
      </c>
      <c r="J27" s="260">
        <v>1910400</v>
      </c>
      <c r="K27" s="238" t="s">
        <v>39</v>
      </c>
      <c r="L27" s="261">
        <v>1</v>
      </c>
      <c r="M27" s="238" t="s">
        <v>39</v>
      </c>
      <c r="N27" s="262">
        <v>9</v>
      </c>
      <c r="O27" s="263">
        <f t="shared" si="0"/>
        <v>17193600</v>
      </c>
    </row>
    <row r="28" spans="1:15" s="190" customFormat="1" ht="21.95" customHeight="1" x14ac:dyDescent="0.15">
      <c r="A28" s="218"/>
      <c r="B28" s="230"/>
      <c r="C28" s="230"/>
      <c r="D28" s="231"/>
      <c r="E28" s="231"/>
      <c r="F28" s="232"/>
      <c r="G28" s="233"/>
      <c r="H28" s="242"/>
      <c r="I28" s="259" t="s">
        <v>310</v>
      </c>
      <c r="J28" s="260">
        <v>2088600</v>
      </c>
      <c r="K28" s="238" t="s">
        <v>39</v>
      </c>
      <c r="L28" s="261">
        <v>1</v>
      </c>
      <c r="M28" s="238" t="s">
        <v>39</v>
      </c>
      <c r="N28" s="262">
        <v>10</v>
      </c>
      <c r="O28" s="263">
        <f>J28*L28*N28</f>
        <v>20886000</v>
      </c>
    </row>
    <row r="29" spans="1:15" s="190" customFormat="1" ht="21.95" customHeight="1" x14ac:dyDescent="0.15">
      <c r="A29" s="218"/>
      <c r="B29" s="230"/>
      <c r="C29" s="230"/>
      <c r="D29" s="231"/>
      <c r="E29" s="231"/>
      <c r="F29" s="232"/>
      <c r="G29" s="233"/>
      <c r="H29" s="242"/>
      <c r="I29" s="259" t="s">
        <v>311</v>
      </c>
      <c r="J29" s="260">
        <v>1781800</v>
      </c>
      <c r="K29" s="238" t="s">
        <v>39</v>
      </c>
      <c r="L29" s="261">
        <v>1</v>
      </c>
      <c r="M29" s="238" t="s">
        <v>39</v>
      </c>
      <c r="N29" s="262">
        <v>2</v>
      </c>
      <c r="O29" s="263">
        <f t="shared" si="0"/>
        <v>3563600</v>
      </c>
    </row>
    <row r="30" spans="1:15" s="190" customFormat="1" ht="21.95" customHeight="1" x14ac:dyDescent="0.15">
      <c r="A30" s="218"/>
      <c r="B30" s="230"/>
      <c r="C30" s="230"/>
      <c r="D30" s="231"/>
      <c r="E30" s="231"/>
      <c r="F30" s="232"/>
      <c r="G30" s="233"/>
      <c r="H30" s="242"/>
      <c r="I30" s="259" t="s">
        <v>224</v>
      </c>
      <c r="J30" s="260">
        <v>1823700</v>
      </c>
      <c r="K30" s="238" t="s">
        <v>39</v>
      </c>
      <c r="L30" s="261">
        <v>1</v>
      </c>
      <c r="M30" s="238" t="s">
        <v>39</v>
      </c>
      <c r="N30" s="262">
        <v>10</v>
      </c>
      <c r="O30" s="263">
        <f t="shared" si="0"/>
        <v>18237000</v>
      </c>
    </row>
    <row r="31" spans="1:15" s="190" customFormat="1" ht="21.95" customHeight="1" x14ac:dyDescent="0.15">
      <c r="A31" s="218"/>
      <c r="B31" s="230"/>
      <c r="C31" s="230"/>
      <c r="D31" s="231"/>
      <c r="E31" s="231"/>
      <c r="F31" s="232"/>
      <c r="G31" s="233"/>
      <c r="H31" s="242"/>
      <c r="I31" s="259" t="s">
        <v>131</v>
      </c>
      <c r="J31" s="260">
        <v>2220600</v>
      </c>
      <c r="K31" s="238" t="s">
        <v>39</v>
      </c>
      <c r="L31" s="261">
        <v>1</v>
      </c>
      <c r="M31" s="238" t="s">
        <v>39</v>
      </c>
      <c r="N31" s="262">
        <v>10</v>
      </c>
      <c r="O31" s="263">
        <f>J31*L31*N31</f>
        <v>22206000</v>
      </c>
    </row>
    <row r="32" spans="1:15" s="190" customFormat="1" ht="21.95" customHeight="1" x14ac:dyDescent="0.15">
      <c r="A32" s="218"/>
      <c r="B32" s="230"/>
      <c r="C32" s="230"/>
      <c r="D32" s="231"/>
      <c r="E32" s="231"/>
      <c r="F32" s="232"/>
      <c r="G32" s="233"/>
      <c r="H32" s="242"/>
      <c r="I32" s="259" t="s">
        <v>225</v>
      </c>
      <c r="J32" s="260">
        <v>2276900</v>
      </c>
      <c r="K32" s="238" t="s">
        <v>39</v>
      </c>
      <c r="L32" s="261">
        <v>1</v>
      </c>
      <c r="M32" s="238" t="s">
        <v>39</v>
      </c>
      <c r="N32" s="262">
        <v>2</v>
      </c>
      <c r="O32" s="263">
        <f>J32*L32*N32</f>
        <v>4553800</v>
      </c>
    </row>
    <row r="33" spans="1:15" s="190" customFormat="1" ht="21.95" customHeight="1" x14ac:dyDescent="0.15">
      <c r="A33" s="218"/>
      <c r="B33" s="230"/>
      <c r="C33" s="230"/>
      <c r="D33" s="231"/>
      <c r="E33" s="231"/>
      <c r="F33" s="232"/>
      <c r="G33" s="233"/>
      <c r="H33" s="242"/>
      <c r="I33" s="259" t="s">
        <v>132</v>
      </c>
      <c r="J33" s="260">
        <v>2716600</v>
      </c>
      <c r="K33" s="238" t="s">
        <v>39</v>
      </c>
      <c r="L33" s="261">
        <v>1</v>
      </c>
      <c r="M33" s="238" t="s">
        <v>39</v>
      </c>
      <c r="N33" s="262">
        <v>9</v>
      </c>
      <c r="O33" s="263">
        <f t="shared" si="0"/>
        <v>24449400</v>
      </c>
    </row>
    <row r="34" spans="1:15" s="190" customFormat="1" ht="21.95" customHeight="1" x14ac:dyDescent="0.15">
      <c r="A34" s="218"/>
      <c r="B34" s="230"/>
      <c r="C34" s="230"/>
      <c r="D34" s="231"/>
      <c r="E34" s="231"/>
      <c r="F34" s="232"/>
      <c r="G34" s="233"/>
      <c r="H34" s="242"/>
      <c r="I34" s="259" t="s">
        <v>312</v>
      </c>
      <c r="J34" s="260">
        <v>2776100</v>
      </c>
      <c r="K34" s="238" t="s">
        <v>39</v>
      </c>
      <c r="L34" s="261">
        <v>1</v>
      </c>
      <c r="M34" s="238" t="s">
        <v>39</v>
      </c>
      <c r="N34" s="262">
        <v>3</v>
      </c>
      <c r="O34" s="263">
        <f t="shared" si="0"/>
        <v>8328300</v>
      </c>
    </row>
    <row r="35" spans="1:15" s="190" customFormat="1" ht="21.95" customHeight="1" x14ac:dyDescent="0.15">
      <c r="A35" s="218"/>
      <c r="B35" s="230"/>
      <c r="C35" s="230"/>
      <c r="D35" s="231"/>
      <c r="E35" s="231"/>
      <c r="F35" s="232"/>
      <c r="G35" s="233"/>
      <c r="H35" s="242"/>
      <c r="I35" s="259" t="s">
        <v>313</v>
      </c>
      <c r="J35" s="260">
        <v>2126000</v>
      </c>
      <c r="K35" s="238" t="s">
        <v>39</v>
      </c>
      <c r="L35" s="261">
        <v>1</v>
      </c>
      <c r="M35" s="238" t="s">
        <v>39</v>
      </c>
      <c r="N35" s="262">
        <v>12</v>
      </c>
      <c r="O35" s="263">
        <f>J35*L35*N35</f>
        <v>25512000</v>
      </c>
    </row>
    <row r="36" spans="1:15" s="325" customFormat="1" ht="21.95" customHeight="1" x14ac:dyDescent="0.15">
      <c r="A36" s="218"/>
      <c r="B36" s="230"/>
      <c r="C36" s="250" t="s">
        <v>35</v>
      </c>
      <c r="D36" s="251">
        <v>123343540</v>
      </c>
      <c r="E36" s="252">
        <f>O36</f>
        <v>123343540</v>
      </c>
      <c r="F36" s="252">
        <f>E36-D36</f>
        <v>0</v>
      </c>
      <c r="G36" s="253">
        <f>F36/D36*100</f>
        <v>0</v>
      </c>
      <c r="H36" s="565"/>
      <c r="I36" s="469"/>
      <c r="J36" s="366"/>
      <c r="K36" s="367"/>
      <c r="L36" s="399"/>
      <c r="M36" s="367"/>
      <c r="N36" s="566"/>
      <c r="O36" s="564">
        <f>SUM(O37:O39,O41:O52,O53:O65,)</f>
        <v>123343540</v>
      </c>
    </row>
    <row r="37" spans="1:15" s="325" customFormat="1" ht="21.95" customHeight="1" x14ac:dyDescent="0.15">
      <c r="A37" s="218"/>
      <c r="B37" s="230"/>
      <c r="C37" s="230"/>
      <c r="D37" s="231"/>
      <c r="E37" s="232"/>
      <c r="F37" s="232"/>
      <c r="G37" s="593"/>
      <c r="H37" s="521">
        <v>1</v>
      </c>
      <c r="I37" s="731" t="s">
        <v>314</v>
      </c>
      <c r="J37" s="732"/>
      <c r="K37" s="367"/>
      <c r="L37" s="240"/>
      <c r="M37" s="367"/>
      <c r="N37" s="733"/>
      <c r="O37" s="241"/>
    </row>
    <row r="38" spans="1:15" s="325" customFormat="1" ht="21.95" customHeight="1" x14ac:dyDescent="0.15">
      <c r="A38" s="218"/>
      <c r="B38" s="230"/>
      <c r="C38" s="230"/>
      <c r="D38" s="231"/>
      <c r="E38" s="232"/>
      <c r="F38" s="232"/>
      <c r="G38" s="593"/>
      <c r="H38" s="242"/>
      <c r="I38" s="264" t="s">
        <v>315</v>
      </c>
      <c r="J38" s="260">
        <v>31012900</v>
      </c>
      <c r="K38" s="238" t="s">
        <v>39</v>
      </c>
      <c r="L38" s="265">
        <v>0.6</v>
      </c>
      <c r="M38" s="238"/>
      <c r="N38" s="266"/>
      <c r="O38" s="244">
        <f>J38*60%</f>
        <v>18607740</v>
      </c>
    </row>
    <row r="39" spans="1:15" s="325" customFormat="1" ht="21.95" customHeight="1" x14ac:dyDescent="0.15">
      <c r="A39" s="218"/>
      <c r="B39" s="230"/>
      <c r="C39" s="230"/>
      <c r="D39" s="231"/>
      <c r="E39" s="232"/>
      <c r="F39" s="232"/>
      <c r="G39" s="593"/>
      <c r="H39" s="242"/>
      <c r="I39" s="264" t="s">
        <v>316</v>
      </c>
      <c r="J39" s="260">
        <v>30989400</v>
      </c>
      <c r="K39" s="238" t="s">
        <v>317</v>
      </c>
      <c r="L39" s="265">
        <v>0.6</v>
      </c>
      <c r="M39" s="238"/>
      <c r="N39" s="266"/>
      <c r="O39" s="244">
        <f>J39*60%</f>
        <v>18593640</v>
      </c>
    </row>
    <row r="40" spans="1:15" s="325" customFormat="1" ht="21.95" customHeight="1" x14ac:dyDescent="0.15">
      <c r="A40" s="218"/>
      <c r="B40" s="230"/>
      <c r="C40" s="230"/>
      <c r="D40" s="231"/>
      <c r="E40" s="232"/>
      <c r="F40" s="232"/>
      <c r="G40" s="593"/>
      <c r="H40" s="242">
        <v>2</v>
      </c>
      <c r="I40" s="256" t="s">
        <v>318</v>
      </c>
      <c r="J40" s="257"/>
      <c r="K40" s="238"/>
      <c r="L40" s="246"/>
      <c r="M40" s="238"/>
      <c r="N40" s="258"/>
      <c r="O40" s="244"/>
    </row>
    <row r="41" spans="1:15" s="325" customFormat="1" ht="21.95" customHeight="1" x14ac:dyDescent="0.15">
      <c r="A41" s="218"/>
      <c r="B41" s="230"/>
      <c r="C41" s="230"/>
      <c r="D41" s="231"/>
      <c r="E41" s="232"/>
      <c r="F41" s="232"/>
      <c r="G41" s="593"/>
      <c r="H41" s="242"/>
      <c r="I41" s="256" t="s">
        <v>319</v>
      </c>
      <c r="J41" s="267">
        <v>46101900</v>
      </c>
      <c r="K41" s="268"/>
      <c r="L41" s="268" t="s">
        <v>320</v>
      </c>
      <c r="M41" s="268"/>
      <c r="N41" s="268" t="s">
        <v>321</v>
      </c>
      <c r="O41" s="269">
        <f>ROUNDDOWN((J41/209*1.5*20),-1)</f>
        <v>6617490</v>
      </c>
    </row>
    <row r="42" spans="1:15" s="325" customFormat="1" ht="21.95" customHeight="1" x14ac:dyDescent="0.15">
      <c r="A42" s="218"/>
      <c r="B42" s="230"/>
      <c r="C42" s="230"/>
      <c r="D42" s="231"/>
      <c r="E42" s="232"/>
      <c r="F42" s="232"/>
      <c r="G42" s="593"/>
      <c r="H42" s="242"/>
      <c r="I42" s="256" t="s">
        <v>322</v>
      </c>
      <c r="J42" s="267">
        <v>37768200</v>
      </c>
      <c r="K42" s="268"/>
      <c r="L42" s="268" t="s">
        <v>320</v>
      </c>
      <c r="M42" s="268"/>
      <c r="N42" s="268" t="s">
        <v>323</v>
      </c>
      <c r="O42" s="269">
        <f>ROUNDDOWN((J42/209*1.5*40),-1)</f>
        <v>10842540</v>
      </c>
    </row>
    <row r="43" spans="1:15" s="325" customFormat="1" ht="21.95" customHeight="1" x14ac:dyDescent="0.15">
      <c r="A43" s="218"/>
      <c r="B43" s="230"/>
      <c r="C43" s="230"/>
      <c r="D43" s="231"/>
      <c r="E43" s="232"/>
      <c r="F43" s="232"/>
      <c r="G43" s="593"/>
      <c r="H43" s="242"/>
      <c r="I43" s="256" t="s">
        <v>324</v>
      </c>
      <c r="J43" s="267">
        <v>36529800</v>
      </c>
      <c r="K43" s="268"/>
      <c r="L43" s="268" t="s">
        <v>320</v>
      </c>
      <c r="M43" s="268"/>
      <c r="N43" s="268" t="s">
        <v>321</v>
      </c>
      <c r="O43" s="269">
        <f>ROUNDDOWN((J43/209*1.5*20),-1)</f>
        <v>5243510</v>
      </c>
    </row>
    <row r="44" spans="1:15" s="325" customFormat="1" ht="21.95" customHeight="1" x14ac:dyDescent="0.15">
      <c r="A44" s="218"/>
      <c r="B44" s="230"/>
      <c r="C44" s="230"/>
      <c r="D44" s="231"/>
      <c r="E44" s="232"/>
      <c r="F44" s="232"/>
      <c r="G44" s="593"/>
      <c r="H44" s="242"/>
      <c r="I44" s="256" t="s">
        <v>325</v>
      </c>
      <c r="J44" s="267">
        <v>4888000</v>
      </c>
      <c r="K44" s="268"/>
      <c r="L44" s="268" t="s">
        <v>320</v>
      </c>
      <c r="M44" s="268"/>
      <c r="N44" s="268" t="s">
        <v>323</v>
      </c>
      <c r="O44" s="269">
        <f t="shared" ref="O44:O47" si="1">ROUNDDOWN((J44/209*1.5*40),-1)</f>
        <v>1403250</v>
      </c>
    </row>
    <row r="45" spans="1:15" s="325" customFormat="1" ht="21.95" customHeight="1" x14ac:dyDescent="0.15">
      <c r="A45" s="218"/>
      <c r="B45" s="230"/>
      <c r="C45" s="230"/>
      <c r="D45" s="231"/>
      <c r="E45" s="232"/>
      <c r="F45" s="232"/>
      <c r="G45" s="593"/>
      <c r="H45" s="242"/>
      <c r="I45" s="256" t="s">
        <v>326</v>
      </c>
      <c r="J45" s="267">
        <v>23735400</v>
      </c>
      <c r="K45" s="268"/>
      <c r="L45" s="268" t="s">
        <v>327</v>
      </c>
      <c r="M45" s="268"/>
      <c r="N45" s="268" t="s">
        <v>328</v>
      </c>
      <c r="O45" s="269">
        <f t="shared" si="1"/>
        <v>6813990</v>
      </c>
    </row>
    <row r="46" spans="1:15" s="325" customFormat="1" ht="21.95" customHeight="1" x14ac:dyDescent="0.15">
      <c r="A46" s="218"/>
      <c r="B46" s="230"/>
      <c r="C46" s="230"/>
      <c r="D46" s="231"/>
      <c r="E46" s="232"/>
      <c r="F46" s="232"/>
      <c r="G46" s="593"/>
      <c r="H46" s="242"/>
      <c r="I46" s="256" t="s">
        <v>326</v>
      </c>
      <c r="J46" s="267">
        <v>27014000</v>
      </c>
      <c r="K46" s="268"/>
      <c r="L46" s="268" t="s">
        <v>327</v>
      </c>
      <c r="M46" s="268"/>
      <c r="N46" s="268" t="s">
        <v>328</v>
      </c>
      <c r="O46" s="269">
        <f t="shared" si="1"/>
        <v>7755210</v>
      </c>
    </row>
    <row r="47" spans="1:15" s="325" customFormat="1" ht="21.95" customHeight="1" thickBot="1" x14ac:dyDescent="0.2">
      <c r="A47" s="506"/>
      <c r="B47" s="507"/>
      <c r="C47" s="507"/>
      <c r="D47" s="651"/>
      <c r="E47" s="652"/>
      <c r="F47" s="652"/>
      <c r="G47" s="745"/>
      <c r="H47" s="746"/>
      <c r="I47" s="747" t="s">
        <v>326</v>
      </c>
      <c r="J47" s="748">
        <v>24036900</v>
      </c>
      <c r="K47" s="749"/>
      <c r="L47" s="749" t="s">
        <v>327</v>
      </c>
      <c r="M47" s="749"/>
      <c r="N47" s="749" t="s">
        <v>328</v>
      </c>
      <c r="O47" s="750">
        <f t="shared" si="1"/>
        <v>6900540</v>
      </c>
    </row>
    <row r="48" spans="1:15" s="325" customFormat="1" ht="21.95" customHeight="1" x14ac:dyDescent="0.15">
      <c r="A48" s="218"/>
      <c r="B48" s="230"/>
      <c r="C48" s="230"/>
      <c r="D48" s="231"/>
      <c r="E48" s="232"/>
      <c r="F48" s="232"/>
      <c r="G48" s="593"/>
      <c r="H48" s="242"/>
      <c r="I48" s="256" t="s">
        <v>326</v>
      </c>
      <c r="J48" s="267">
        <v>3075310</v>
      </c>
      <c r="K48" s="268"/>
      <c r="L48" s="268" t="s">
        <v>327</v>
      </c>
      <c r="M48" s="268"/>
      <c r="N48" s="268" t="s">
        <v>328</v>
      </c>
      <c r="O48" s="269">
        <f>ROUNDDOWN((J48/209*1.5*40),-1)</f>
        <v>882860</v>
      </c>
    </row>
    <row r="49" spans="1:15" s="325" customFormat="1" ht="21.95" customHeight="1" x14ac:dyDescent="0.15">
      <c r="A49" s="218"/>
      <c r="B49" s="230"/>
      <c r="C49" s="230"/>
      <c r="D49" s="231"/>
      <c r="E49" s="232"/>
      <c r="F49" s="232"/>
      <c r="G49" s="593"/>
      <c r="H49" s="242"/>
      <c r="I49" s="256" t="s">
        <v>326</v>
      </c>
      <c r="J49" s="267">
        <v>22072800</v>
      </c>
      <c r="K49" s="268"/>
      <c r="L49" s="268" t="s">
        <v>327</v>
      </c>
      <c r="M49" s="268"/>
      <c r="N49" s="268" t="s">
        <v>328</v>
      </c>
      <c r="O49" s="269">
        <f>ROUNDDOWN((J49/209*1.5*40),-1)</f>
        <v>6336680</v>
      </c>
    </row>
    <row r="50" spans="1:15" s="325" customFormat="1" ht="21.95" customHeight="1" x14ac:dyDescent="0.15">
      <c r="A50" s="218"/>
      <c r="B50" s="230"/>
      <c r="C50" s="230"/>
      <c r="D50" s="231"/>
      <c r="E50" s="232"/>
      <c r="F50" s="232"/>
      <c r="G50" s="593"/>
      <c r="H50" s="242"/>
      <c r="I50" s="256" t="s">
        <v>326</v>
      </c>
      <c r="J50" s="267">
        <v>19586700</v>
      </c>
      <c r="K50" s="268"/>
      <c r="L50" s="268" t="s">
        <v>327</v>
      </c>
      <c r="M50" s="268"/>
      <c r="N50" s="268" t="s">
        <v>328</v>
      </c>
      <c r="O50" s="269">
        <f>ROUNDDOWN((J50/209*1.5*40),-1)</f>
        <v>5622970</v>
      </c>
    </row>
    <row r="51" spans="1:15" s="325" customFormat="1" ht="21.95" customHeight="1" x14ac:dyDescent="0.15">
      <c r="A51" s="218"/>
      <c r="B51" s="230"/>
      <c r="C51" s="230"/>
      <c r="D51" s="231"/>
      <c r="E51" s="232"/>
      <c r="F51" s="232"/>
      <c r="G51" s="593"/>
      <c r="H51" s="242"/>
      <c r="I51" s="256" t="s">
        <v>326</v>
      </c>
      <c r="J51" s="267">
        <v>20886000</v>
      </c>
      <c r="K51" s="268"/>
      <c r="L51" s="268" t="s">
        <v>327</v>
      </c>
      <c r="M51" s="268"/>
      <c r="N51" s="268" t="s">
        <v>328</v>
      </c>
      <c r="O51" s="269">
        <f>ROUNDDOWN((J51/209*1.5*40),-1)</f>
        <v>5995980</v>
      </c>
    </row>
    <row r="52" spans="1:15" s="325" customFormat="1" ht="21.95" customHeight="1" x14ac:dyDescent="0.15">
      <c r="A52" s="218"/>
      <c r="B52" s="230"/>
      <c r="C52" s="230"/>
      <c r="D52" s="231"/>
      <c r="E52" s="232"/>
      <c r="F52" s="232"/>
      <c r="G52" s="593"/>
      <c r="H52" s="242"/>
      <c r="I52" s="256" t="s">
        <v>329</v>
      </c>
      <c r="J52" s="267">
        <v>21800600</v>
      </c>
      <c r="K52" s="268"/>
      <c r="L52" s="268" t="s">
        <v>327</v>
      </c>
      <c r="M52" s="268"/>
      <c r="N52" s="268" t="s">
        <v>330</v>
      </c>
      <c r="O52" s="269">
        <f>ROUNDDOWN((J52/209*1.5*20),-1)</f>
        <v>3129270</v>
      </c>
    </row>
    <row r="53" spans="1:15" s="325" customFormat="1" ht="21.95" customHeight="1" x14ac:dyDescent="0.15">
      <c r="A53" s="218"/>
      <c r="B53" s="230"/>
      <c r="C53" s="230"/>
      <c r="D53" s="231"/>
      <c r="E53" s="232"/>
      <c r="F53" s="232"/>
      <c r="G53" s="593"/>
      <c r="H53" s="242"/>
      <c r="I53" s="256" t="s">
        <v>331</v>
      </c>
      <c r="J53" s="267">
        <v>26759800</v>
      </c>
      <c r="K53" s="268"/>
      <c r="L53" s="268" t="s">
        <v>327</v>
      </c>
      <c r="M53" s="268"/>
      <c r="N53" s="268" t="s">
        <v>328</v>
      </c>
      <c r="O53" s="269">
        <f>ROUNDDOWN((J53/209*1.5*40),-1)</f>
        <v>7682230</v>
      </c>
    </row>
    <row r="54" spans="1:15" s="325" customFormat="1" ht="21.95" customHeight="1" x14ac:dyDescent="0.15">
      <c r="A54" s="218"/>
      <c r="B54" s="230"/>
      <c r="C54" s="230"/>
      <c r="D54" s="231"/>
      <c r="E54" s="232"/>
      <c r="F54" s="232"/>
      <c r="G54" s="593"/>
      <c r="H54" s="242"/>
      <c r="I54" s="256" t="s">
        <v>332</v>
      </c>
      <c r="J54" s="267">
        <v>32777700</v>
      </c>
      <c r="K54" s="268"/>
      <c r="L54" s="268" t="s">
        <v>327</v>
      </c>
      <c r="M54" s="268"/>
      <c r="N54" s="268" t="s">
        <v>330</v>
      </c>
      <c r="O54" s="269">
        <f>ROUNDDOWN((J54/209*1.5*20),-1)</f>
        <v>4704930</v>
      </c>
    </row>
    <row r="55" spans="1:15" s="325" customFormat="1" ht="21.95" customHeight="1" x14ac:dyDescent="0.15">
      <c r="A55" s="218"/>
      <c r="B55" s="230"/>
      <c r="C55" s="230"/>
      <c r="D55" s="231"/>
      <c r="E55" s="232"/>
      <c r="F55" s="232"/>
      <c r="G55" s="593"/>
      <c r="H55" s="242">
        <v>4</v>
      </c>
      <c r="I55" s="259" t="s">
        <v>333</v>
      </c>
      <c r="J55" s="422" t="s">
        <v>334</v>
      </c>
      <c r="K55" s="415"/>
      <c r="L55" s="415"/>
      <c r="M55" s="415"/>
      <c r="N55" s="415"/>
      <c r="O55" s="270"/>
    </row>
    <row r="56" spans="1:15" s="325" customFormat="1" ht="21.95" customHeight="1" x14ac:dyDescent="0.15">
      <c r="A56" s="218"/>
      <c r="B56" s="230"/>
      <c r="C56" s="230"/>
      <c r="D56" s="231"/>
      <c r="E56" s="232"/>
      <c r="F56" s="232"/>
      <c r="G56" s="593"/>
      <c r="H56" s="242"/>
      <c r="I56" s="259" t="s">
        <v>335</v>
      </c>
      <c r="J56" s="260">
        <v>120000</v>
      </c>
      <c r="K56" s="238" t="s">
        <v>39</v>
      </c>
      <c r="L56" s="271">
        <v>1</v>
      </c>
      <c r="M56" s="238" t="s">
        <v>39</v>
      </c>
      <c r="N56" s="266">
        <v>12</v>
      </c>
      <c r="O56" s="244">
        <f t="shared" ref="O56:O65" si="2">J56*L56*N56</f>
        <v>1440000</v>
      </c>
    </row>
    <row r="57" spans="1:15" s="325" customFormat="1" ht="21.95" customHeight="1" x14ac:dyDescent="0.15">
      <c r="A57" s="218"/>
      <c r="B57" s="230"/>
      <c r="C57" s="230"/>
      <c r="D57" s="231"/>
      <c r="E57" s="232"/>
      <c r="F57" s="232"/>
      <c r="G57" s="593"/>
      <c r="H57" s="242"/>
      <c r="I57" s="259" t="s">
        <v>336</v>
      </c>
      <c r="J57" s="260">
        <v>120000</v>
      </c>
      <c r="K57" s="238" t="s">
        <v>39</v>
      </c>
      <c r="L57" s="271">
        <v>1</v>
      </c>
      <c r="M57" s="238" t="s">
        <v>39</v>
      </c>
      <c r="N57" s="266">
        <v>12</v>
      </c>
      <c r="O57" s="244">
        <f t="shared" si="2"/>
        <v>1440000</v>
      </c>
    </row>
    <row r="58" spans="1:15" s="325" customFormat="1" ht="21.95" customHeight="1" x14ac:dyDescent="0.15">
      <c r="A58" s="218"/>
      <c r="B58" s="230"/>
      <c r="C58" s="230"/>
      <c r="D58" s="231"/>
      <c r="E58" s="232"/>
      <c r="F58" s="232"/>
      <c r="G58" s="593"/>
      <c r="H58" s="242"/>
      <c r="I58" s="259" t="s">
        <v>326</v>
      </c>
      <c r="J58" s="260">
        <v>40000</v>
      </c>
      <c r="K58" s="238" t="s">
        <v>39</v>
      </c>
      <c r="L58" s="271">
        <v>1</v>
      </c>
      <c r="M58" s="238" t="s">
        <v>39</v>
      </c>
      <c r="N58" s="266">
        <v>2</v>
      </c>
      <c r="O58" s="244">
        <f t="shared" si="2"/>
        <v>80000</v>
      </c>
    </row>
    <row r="59" spans="1:15" s="325" customFormat="1" ht="21.95" customHeight="1" x14ac:dyDescent="0.15">
      <c r="A59" s="218"/>
      <c r="B59" s="230"/>
      <c r="C59" s="230"/>
      <c r="D59" s="231"/>
      <c r="E59" s="232"/>
      <c r="F59" s="232"/>
      <c r="G59" s="593"/>
      <c r="H59" s="242"/>
      <c r="I59" s="259" t="s">
        <v>326</v>
      </c>
      <c r="J59" s="260">
        <v>20000</v>
      </c>
      <c r="K59" s="238" t="s">
        <v>39</v>
      </c>
      <c r="L59" s="271">
        <v>1</v>
      </c>
      <c r="M59" s="238" t="s">
        <v>39</v>
      </c>
      <c r="N59" s="266">
        <v>1</v>
      </c>
      <c r="O59" s="244">
        <f t="shared" si="2"/>
        <v>20000</v>
      </c>
    </row>
    <row r="60" spans="1:15" s="325" customFormat="1" ht="21.95" customHeight="1" x14ac:dyDescent="0.15">
      <c r="A60" s="218"/>
      <c r="B60" s="230"/>
      <c r="C60" s="230"/>
      <c r="D60" s="231"/>
      <c r="E60" s="232"/>
      <c r="F60" s="232"/>
      <c r="G60" s="593"/>
      <c r="H60" s="242"/>
      <c r="I60" s="259" t="s">
        <v>337</v>
      </c>
      <c r="J60" s="260">
        <v>13570</v>
      </c>
      <c r="K60" s="238" t="s">
        <v>39</v>
      </c>
      <c r="L60" s="271">
        <v>1</v>
      </c>
      <c r="M60" s="238" t="s">
        <v>39</v>
      </c>
      <c r="N60" s="266">
        <v>1</v>
      </c>
      <c r="O60" s="244">
        <f t="shared" si="2"/>
        <v>13570</v>
      </c>
    </row>
    <row r="61" spans="1:15" s="325" customFormat="1" ht="21.95" customHeight="1" x14ac:dyDescent="0.15">
      <c r="A61" s="218"/>
      <c r="B61" s="230"/>
      <c r="C61" s="230"/>
      <c r="D61" s="231"/>
      <c r="E61" s="232"/>
      <c r="F61" s="232"/>
      <c r="G61" s="593"/>
      <c r="H61" s="242"/>
      <c r="I61" s="259" t="s">
        <v>338</v>
      </c>
      <c r="J61" s="260">
        <v>57140</v>
      </c>
      <c r="K61" s="238" t="s">
        <v>39</v>
      </c>
      <c r="L61" s="271">
        <v>1</v>
      </c>
      <c r="M61" s="238" t="s">
        <v>39</v>
      </c>
      <c r="N61" s="266">
        <v>1</v>
      </c>
      <c r="O61" s="244">
        <f t="shared" si="2"/>
        <v>57140</v>
      </c>
    </row>
    <row r="62" spans="1:15" s="325" customFormat="1" ht="21.95" customHeight="1" x14ac:dyDescent="0.15">
      <c r="A62" s="218"/>
      <c r="B62" s="230"/>
      <c r="C62" s="230"/>
      <c r="D62" s="231"/>
      <c r="E62" s="232"/>
      <c r="F62" s="232"/>
      <c r="G62" s="593"/>
      <c r="H62" s="242"/>
      <c r="I62" s="259" t="s">
        <v>326</v>
      </c>
      <c r="J62" s="260">
        <v>200000</v>
      </c>
      <c r="K62" s="238" t="s">
        <v>39</v>
      </c>
      <c r="L62" s="271">
        <v>1</v>
      </c>
      <c r="M62" s="238" t="s">
        <v>39</v>
      </c>
      <c r="N62" s="266">
        <v>10</v>
      </c>
      <c r="O62" s="244">
        <f t="shared" si="2"/>
        <v>2000000</v>
      </c>
    </row>
    <row r="63" spans="1:15" s="325" customFormat="1" ht="21.95" customHeight="1" x14ac:dyDescent="0.15">
      <c r="A63" s="218"/>
      <c r="B63" s="230"/>
      <c r="C63" s="230"/>
      <c r="D63" s="231"/>
      <c r="E63" s="232"/>
      <c r="F63" s="232"/>
      <c r="G63" s="593"/>
      <c r="H63" s="242"/>
      <c r="I63" s="259" t="s">
        <v>326</v>
      </c>
      <c r="J63" s="260">
        <v>20000</v>
      </c>
      <c r="K63" s="238" t="s">
        <v>39</v>
      </c>
      <c r="L63" s="271">
        <v>1</v>
      </c>
      <c r="M63" s="238" t="s">
        <v>39</v>
      </c>
      <c r="N63" s="266">
        <v>10</v>
      </c>
      <c r="O63" s="244">
        <f t="shared" si="2"/>
        <v>200000</v>
      </c>
    </row>
    <row r="64" spans="1:15" s="325" customFormat="1" ht="21.95" customHeight="1" x14ac:dyDescent="0.15">
      <c r="A64" s="218"/>
      <c r="B64" s="230"/>
      <c r="C64" s="230"/>
      <c r="D64" s="231"/>
      <c r="E64" s="232"/>
      <c r="F64" s="232"/>
      <c r="G64" s="593"/>
      <c r="H64" s="242"/>
      <c r="I64" s="259" t="s">
        <v>331</v>
      </c>
      <c r="J64" s="260">
        <v>40000</v>
      </c>
      <c r="K64" s="238" t="s">
        <v>39</v>
      </c>
      <c r="L64" s="271">
        <v>1</v>
      </c>
      <c r="M64" s="238" t="s">
        <v>39</v>
      </c>
      <c r="N64" s="266">
        <v>12</v>
      </c>
      <c r="O64" s="244">
        <f t="shared" si="2"/>
        <v>480000</v>
      </c>
    </row>
    <row r="65" spans="1:15" s="325" customFormat="1" ht="21.95" customHeight="1" x14ac:dyDescent="0.15">
      <c r="A65" s="218"/>
      <c r="B65" s="230"/>
      <c r="C65" s="230"/>
      <c r="D65" s="231"/>
      <c r="E65" s="232"/>
      <c r="F65" s="232"/>
      <c r="G65" s="593"/>
      <c r="H65" s="242"/>
      <c r="I65" s="259" t="s">
        <v>339</v>
      </c>
      <c r="J65" s="260">
        <v>40000</v>
      </c>
      <c r="K65" s="238" t="s">
        <v>39</v>
      </c>
      <c r="L65" s="271">
        <v>1</v>
      </c>
      <c r="M65" s="238" t="s">
        <v>39</v>
      </c>
      <c r="N65" s="266">
        <v>12</v>
      </c>
      <c r="O65" s="244">
        <f t="shared" si="2"/>
        <v>480000</v>
      </c>
    </row>
    <row r="66" spans="1:15" s="325" customFormat="1" ht="21.95" customHeight="1" x14ac:dyDescent="0.15">
      <c r="A66" s="218"/>
      <c r="B66" s="230"/>
      <c r="C66" s="250" t="s">
        <v>414</v>
      </c>
      <c r="D66" s="251">
        <v>300000</v>
      </c>
      <c r="E66" s="252">
        <f>O66</f>
        <v>300000</v>
      </c>
      <c r="F66" s="252">
        <f>E66-D66</f>
        <v>0</v>
      </c>
      <c r="G66" s="253">
        <f>F66/D66*100</f>
        <v>0</v>
      </c>
      <c r="H66" s="333"/>
      <c r="I66" s="327"/>
      <c r="J66" s="254"/>
      <c r="K66" s="328"/>
      <c r="L66" s="329"/>
      <c r="M66" s="328"/>
      <c r="N66" s="330"/>
      <c r="O66" s="331">
        <v>300000</v>
      </c>
    </row>
    <row r="67" spans="1:15" s="325" customFormat="1" ht="21.95" customHeight="1" x14ac:dyDescent="0.15">
      <c r="A67" s="218"/>
      <c r="B67" s="230"/>
      <c r="C67" s="596" t="s">
        <v>232</v>
      </c>
      <c r="D67" s="251">
        <v>41324060</v>
      </c>
      <c r="E67" s="252">
        <f>O67</f>
        <v>41324060.166666664</v>
      </c>
      <c r="F67" s="252">
        <f>E67-D67</f>
        <v>0.1666666641831398</v>
      </c>
      <c r="G67" s="253">
        <f>F67/D67*100</f>
        <v>4.0331628640346521E-7</v>
      </c>
      <c r="H67" s="334"/>
      <c r="I67" s="469"/>
      <c r="J67" s="366"/>
      <c r="K67" s="367"/>
      <c r="L67" s="524"/>
      <c r="M67" s="367"/>
      <c r="N67" s="563"/>
      <c r="O67" s="564">
        <f>SUM(O68:O68)</f>
        <v>41324060.166666664</v>
      </c>
    </row>
    <row r="68" spans="1:15" s="325" customFormat="1" ht="21.95" customHeight="1" x14ac:dyDescent="0.15">
      <c r="A68" s="218"/>
      <c r="B68" s="230"/>
      <c r="C68" s="597"/>
      <c r="D68" s="231"/>
      <c r="E68" s="232"/>
      <c r="F68" s="232"/>
      <c r="G68" s="233"/>
      <c r="H68" s="333">
        <v>1</v>
      </c>
      <c r="I68" s="327" t="s">
        <v>276</v>
      </c>
      <c r="J68" s="254">
        <v>495888650</v>
      </c>
      <c r="K68" s="328" t="s">
        <v>228</v>
      </c>
      <c r="L68" s="330">
        <v>12</v>
      </c>
      <c r="M68" s="328"/>
      <c r="N68" s="734"/>
      <c r="O68" s="735">
        <f>(J68/L68)+6</f>
        <v>41324060.166666664</v>
      </c>
    </row>
    <row r="69" spans="1:15" s="325" customFormat="1" ht="21.95" customHeight="1" thickBot="1" x14ac:dyDescent="0.2">
      <c r="A69" s="506"/>
      <c r="B69" s="507"/>
      <c r="C69" s="813" t="s">
        <v>165</v>
      </c>
      <c r="D69" s="509">
        <v>48373330</v>
      </c>
      <c r="E69" s="510">
        <f>O69</f>
        <v>48373329.624614507</v>
      </c>
      <c r="F69" s="510">
        <f>E69-D69</f>
        <v>-0.37538549304008484</v>
      </c>
      <c r="G69" s="753">
        <f>F69/D69*100</f>
        <v>-7.7601747293412469E-7</v>
      </c>
      <c r="H69" s="814"/>
      <c r="I69" s="815"/>
      <c r="J69" s="756"/>
      <c r="K69" s="766"/>
      <c r="L69" s="816"/>
      <c r="M69" s="766"/>
      <c r="N69" s="766"/>
      <c r="O69" s="817">
        <f>SUM(O70:O74)</f>
        <v>48373329.624614507</v>
      </c>
    </row>
    <row r="70" spans="1:15" s="190" customFormat="1" ht="21.95" customHeight="1" x14ac:dyDescent="0.15">
      <c r="A70" s="218"/>
      <c r="B70" s="230"/>
      <c r="C70" s="230"/>
      <c r="D70" s="231"/>
      <c r="E70" s="232"/>
      <c r="F70" s="232"/>
      <c r="G70" s="233"/>
      <c r="H70" s="332">
        <v>1</v>
      </c>
      <c r="I70" s="259" t="s">
        <v>340</v>
      </c>
      <c r="J70" s="260">
        <v>495888650</v>
      </c>
      <c r="K70" s="238" t="s">
        <v>39</v>
      </c>
      <c r="L70" s="273">
        <v>4.5</v>
      </c>
      <c r="M70" s="274" t="s">
        <v>341</v>
      </c>
      <c r="N70" s="246"/>
      <c r="O70" s="269">
        <f>(J70*4.5%)+1</f>
        <v>22314990.25</v>
      </c>
    </row>
    <row r="71" spans="1:15" s="190" customFormat="1" ht="21.95" customHeight="1" x14ac:dyDescent="0.15">
      <c r="A71" s="218"/>
      <c r="B71" s="230"/>
      <c r="C71" s="230"/>
      <c r="D71" s="231"/>
      <c r="E71" s="232"/>
      <c r="F71" s="232"/>
      <c r="G71" s="233"/>
      <c r="H71" s="332">
        <v>2</v>
      </c>
      <c r="I71" s="259" t="s">
        <v>48</v>
      </c>
      <c r="J71" s="260">
        <v>495888650</v>
      </c>
      <c r="K71" s="238" t="s">
        <v>39</v>
      </c>
      <c r="L71" s="273">
        <v>3.23</v>
      </c>
      <c r="M71" s="274" t="s">
        <v>341</v>
      </c>
      <c r="N71" s="275"/>
      <c r="O71" s="269">
        <f>(J71*L71%)+7</f>
        <v>16017210.395000001</v>
      </c>
    </row>
    <row r="72" spans="1:15" s="190" customFormat="1" ht="21.95" customHeight="1" x14ac:dyDescent="0.15">
      <c r="A72" s="218"/>
      <c r="B72" s="230"/>
      <c r="C72" s="230"/>
      <c r="D72" s="231"/>
      <c r="E72" s="232"/>
      <c r="F72" s="232"/>
      <c r="G72" s="233"/>
      <c r="H72" s="332">
        <v>3</v>
      </c>
      <c r="I72" s="259" t="s">
        <v>342</v>
      </c>
      <c r="J72" s="260">
        <v>16017210.395000001</v>
      </c>
      <c r="K72" s="238" t="s">
        <v>39</v>
      </c>
      <c r="L72" s="273">
        <v>8.51</v>
      </c>
      <c r="M72" s="274" t="s">
        <v>341</v>
      </c>
      <c r="N72" s="275"/>
      <c r="O72" s="244">
        <f>(J72*L72%)+5</f>
        <v>1363069.6046145</v>
      </c>
    </row>
    <row r="73" spans="1:15" s="190" customFormat="1" ht="21.95" customHeight="1" x14ac:dyDescent="0.15">
      <c r="A73" s="218"/>
      <c r="B73" s="230"/>
      <c r="C73" s="230"/>
      <c r="D73" s="231"/>
      <c r="E73" s="232"/>
      <c r="F73" s="232"/>
      <c r="G73" s="233"/>
      <c r="H73" s="332">
        <v>4</v>
      </c>
      <c r="I73" s="259" t="s">
        <v>144</v>
      </c>
      <c r="J73" s="260">
        <v>495888650</v>
      </c>
      <c r="K73" s="238" t="s">
        <v>39</v>
      </c>
      <c r="L73" s="273">
        <v>0.9</v>
      </c>
      <c r="M73" s="274" t="s">
        <v>341</v>
      </c>
      <c r="N73" s="238"/>
      <c r="O73" s="244">
        <f>(J73*L73%)+2</f>
        <v>4462999.8500000006</v>
      </c>
    </row>
    <row r="74" spans="1:15" s="190" customFormat="1" ht="21.95" customHeight="1" x14ac:dyDescent="0.15">
      <c r="A74" s="218"/>
      <c r="B74" s="230"/>
      <c r="C74" s="230"/>
      <c r="D74" s="231"/>
      <c r="E74" s="232"/>
      <c r="F74" s="232"/>
      <c r="G74" s="233"/>
      <c r="H74" s="332">
        <v>5</v>
      </c>
      <c r="I74" s="259" t="s">
        <v>145</v>
      </c>
      <c r="J74" s="260">
        <v>495888650</v>
      </c>
      <c r="K74" s="238" t="s">
        <v>39</v>
      </c>
      <c r="L74" s="273">
        <v>0.85</v>
      </c>
      <c r="M74" s="274" t="s">
        <v>341</v>
      </c>
      <c r="N74" s="238"/>
      <c r="O74" s="244">
        <f>(J74*L74%)+6</f>
        <v>4215059.5250000004</v>
      </c>
    </row>
    <row r="75" spans="1:15" s="325" customFormat="1" ht="21.95" customHeight="1" x14ac:dyDescent="0.15">
      <c r="A75" s="218"/>
      <c r="B75" s="230"/>
      <c r="C75" s="250" t="s">
        <v>166</v>
      </c>
      <c r="D75" s="251">
        <v>570000</v>
      </c>
      <c r="E75" s="252">
        <f>O75</f>
        <v>570000</v>
      </c>
      <c r="F75" s="252">
        <f t="shared" ref="F75:F87" si="3">E75-D75</f>
        <v>0</v>
      </c>
      <c r="G75" s="253">
        <f>F75/D75*100</f>
        <v>0</v>
      </c>
      <c r="H75" s="326"/>
      <c r="I75" s="327"/>
      <c r="J75" s="254"/>
      <c r="K75" s="328"/>
      <c r="L75" s="335"/>
      <c r="M75" s="328"/>
      <c r="N75" s="328"/>
      <c r="O75" s="331">
        <v>570000</v>
      </c>
    </row>
    <row r="76" spans="1:15" s="190" customFormat="1" ht="21.95" customHeight="1" x14ac:dyDescent="0.15">
      <c r="A76" s="218"/>
      <c r="B76" s="1078" t="s">
        <v>167</v>
      </c>
      <c r="C76" s="1079"/>
      <c r="D76" s="599">
        <f>SUM(D77:D77)</f>
        <v>500000</v>
      </c>
      <c r="E76" s="599">
        <f>SUM(E77:E77)</f>
        <v>500000</v>
      </c>
      <c r="F76" s="599">
        <f t="shared" si="3"/>
        <v>0</v>
      </c>
      <c r="G76" s="600">
        <f>F76/D76*100</f>
        <v>0</v>
      </c>
      <c r="H76" s="337"/>
      <c r="I76" s="338"/>
      <c r="J76" s="339"/>
      <c r="K76" s="340"/>
      <c r="L76" s="341"/>
      <c r="M76" s="340"/>
      <c r="N76" s="342"/>
      <c r="O76" s="343">
        <f>O77</f>
        <v>500000</v>
      </c>
    </row>
    <row r="77" spans="1:15" s="190" customFormat="1" ht="21.95" customHeight="1" thickBot="1" x14ac:dyDescent="0.2">
      <c r="A77" s="594"/>
      <c r="B77" s="595"/>
      <c r="C77" s="598" t="s">
        <v>415</v>
      </c>
      <c r="D77" s="509">
        <v>500000</v>
      </c>
      <c r="E77" s="510">
        <f>O77</f>
        <v>500000</v>
      </c>
      <c r="F77" s="510">
        <f t="shared" si="3"/>
        <v>0</v>
      </c>
      <c r="G77" s="753">
        <f>F77/D77*100</f>
        <v>0</v>
      </c>
      <c r="H77" s="754"/>
      <c r="I77" s="755"/>
      <c r="J77" s="756"/>
      <c r="K77" s="766"/>
      <c r="L77" s="770"/>
      <c r="M77" s="515"/>
      <c r="N77" s="516"/>
      <c r="O77" s="517">
        <v>500000</v>
      </c>
    </row>
    <row r="78" spans="1:15" s="190" customFormat="1" ht="21.95" customHeight="1" x14ac:dyDescent="0.15">
      <c r="A78" s="218"/>
      <c r="B78" s="1053" t="s">
        <v>49</v>
      </c>
      <c r="C78" s="1054"/>
      <c r="D78" s="588">
        <f>SUM(D79:D105)</f>
        <v>25078300</v>
      </c>
      <c r="E78" s="588">
        <f>SUM(E79:E105)</f>
        <v>25078300</v>
      </c>
      <c r="F78" s="588">
        <f t="shared" si="3"/>
        <v>0</v>
      </c>
      <c r="G78" s="604">
        <f>SUM(G79:G107)</f>
        <v>1039.6341463414635</v>
      </c>
      <c r="H78" s="350"/>
      <c r="I78" s="351"/>
      <c r="J78" s="352"/>
      <c r="K78" s="353"/>
      <c r="L78" s="354"/>
      <c r="M78" s="353"/>
      <c r="N78" s="353"/>
      <c r="O78" s="767">
        <f>O79+O80+O86+O87+O97+O98</f>
        <v>25078300</v>
      </c>
    </row>
    <row r="79" spans="1:15" s="190" customFormat="1" ht="21.95" customHeight="1" x14ac:dyDescent="0.15">
      <c r="A79" s="218"/>
      <c r="B79" s="250"/>
      <c r="C79" s="601" t="s">
        <v>169</v>
      </c>
      <c r="D79" s="251">
        <v>400000</v>
      </c>
      <c r="E79" s="252">
        <f>O79</f>
        <v>400000</v>
      </c>
      <c r="F79" s="252">
        <f t="shared" si="3"/>
        <v>0</v>
      </c>
      <c r="G79" s="253">
        <f>F79/D79*100</f>
        <v>0</v>
      </c>
      <c r="H79" s="344"/>
      <c r="I79" s="345"/>
      <c r="J79" s="254"/>
      <c r="K79" s="255"/>
      <c r="L79" s="355"/>
      <c r="M79" s="255"/>
      <c r="N79" s="329"/>
      <c r="O79" s="356">
        <v>400000</v>
      </c>
    </row>
    <row r="80" spans="1:15" s="190" customFormat="1" ht="21.95" customHeight="1" x14ac:dyDescent="0.15">
      <c r="A80" s="218"/>
      <c r="B80" s="230"/>
      <c r="C80" s="598" t="s">
        <v>170</v>
      </c>
      <c r="D80" s="414">
        <v>4526400</v>
      </c>
      <c r="E80" s="411">
        <f>O80</f>
        <v>4526400</v>
      </c>
      <c r="F80" s="411">
        <f t="shared" si="3"/>
        <v>0</v>
      </c>
      <c r="G80" s="412">
        <f>F80/D80*100</f>
        <v>0</v>
      </c>
      <c r="H80" s="344"/>
      <c r="I80" s="345"/>
      <c r="J80" s="254"/>
      <c r="K80" s="255"/>
      <c r="L80" s="355"/>
      <c r="M80" s="255"/>
      <c r="N80" s="329"/>
      <c r="O80" s="356">
        <f>SUM(O81:O85)</f>
        <v>4526400</v>
      </c>
    </row>
    <row r="81" spans="1:15" s="190" customFormat="1" ht="21.95" customHeight="1" x14ac:dyDescent="0.15">
      <c r="A81" s="218"/>
      <c r="B81" s="230"/>
      <c r="C81" s="230"/>
      <c r="D81" s="231"/>
      <c r="E81" s="232"/>
      <c r="F81" s="232"/>
      <c r="G81" s="233"/>
      <c r="H81" s="278">
        <v>1</v>
      </c>
      <c r="I81" s="264" t="s">
        <v>380</v>
      </c>
      <c r="J81" s="260">
        <v>132000</v>
      </c>
      <c r="K81" s="238" t="s">
        <v>39</v>
      </c>
      <c r="L81" s="279">
        <v>12</v>
      </c>
      <c r="M81" s="280"/>
      <c r="N81" s="261"/>
      <c r="O81" s="358">
        <f>J81*L81</f>
        <v>1584000</v>
      </c>
    </row>
    <row r="82" spans="1:15" s="190" customFormat="1" ht="21.95" customHeight="1" x14ac:dyDescent="0.15">
      <c r="A82" s="218"/>
      <c r="B82" s="230"/>
      <c r="C82" s="230"/>
      <c r="D82" s="231"/>
      <c r="E82" s="232"/>
      <c r="F82" s="232"/>
      <c r="G82" s="233"/>
      <c r="H82" s="278">
        <v>2</v>
      </c>
      <c r="I82" s="264" t="s">
        <v>381</v>
      </c>
      <c r="J82" s="260">
        <v>66300</v>
      </c>
      <c r="K82" s="238" t="s">
        <v>39</v>
      </c>
      <c r="L82" s="279">
        <v>12</v>
      </c>
      <c r="M82" s="280"/>
      <c r="N82" s="261"/>
      <c r="O82" s="358">
        <f>J82*L82</f>
        <v>795600</v>
      </c>
    </row>
    <row r="83" spans="1:15" s="190" customFormat="1" ht="21.95" customHeight="1" x14ac:dyDescent="0.15">
      <c r="A83" s="218"/>
      <c r="B83" s="230"/>
      <c r="C83" s="230"/>
      <c r="D83" s="231"/>
      <c r="E83" s="232"/>
      <c r="F83" s="232"/>
      <c r="G83" s="233"/>
      <c r="H83" s="278">
        <v>3</v>
      </c>
      <c r="I83" s="264" t="s">
        <v>382</v>
      </c>
      <c r="J83" s="260">
        <v>28900</v>
      </c>
      <c r="K83" s="238" t="s">
        <v>39</v>
      </c>
      <c r="L83" s="279">
        <v>12</v>
      </c>
      <c r="M83" s="280"/>
      <c r="N83" s="261"/>
      <c r="O83" s="358">
        <f>J83*L83</f>
        <v>346800</v>
      </c>
    </row>
    <row r="84" spans="1:15" s="190" customFormat="1" ht="21.95" customHeight="1" x14ac:dyDescent="0.15">
      <c r="A84" s="218"/>
      <c r="B84" s="230"/>
      <c r="C84" s="230"/>
      <c r="D84" s="231"/>
      <c r="E84" s="232"/>
      <c r="F84" s="232"/>
      <c r="G84" s="233"/>
      <c r="H84" s="278">
        <v>4</v>
      </c>
      <c r="I84" s="264" t="s">
        <v>383</v>
      </c>
      <c r="J84" s="260">
        <v>50000</v>
      </c>
      <c r="K84" s="238" t="s">
        <v>39</v>
      </c>
      <c r="L84" s="279">
        <v>12</v>
      </c>
      <c r="M84" s="280"/>
      <c r="N84" s="261"/>
      <c r="O84" s="358">
        <f>J84*L84</f>
        <v>600000</v>
      </c>
    </row>
    <row r="85" spans="1:15" s="190" customFormat="1" ht="21.95" customHeight="1" x14ac:dyDescent="0.15">
      <c r="A85" s="218"/>
      <c r="B85" s="230"/>
      <c r="C85" s="230"/>
      <c r="D85" s="231"/>
      <c r="E85" s="232"/>
      <c r="F85" s="232"/>
      <c r="G85" s="233"/>
      <c r="H85" s="346">
        <v>5</v>
      </c>
      <c r="I85" s="676" t="s">
        <v>384</v>
      </c>
      <c r="J85" s="347">
        <v>100000</v>
      </c>
      <c r="K85" s="348" t="s">
        <v>39</v>
      </c>
      <c r="L85" s="359">
        <v>12</v>
      </c>
      <c r="M85" s="465"/>
      <c r="N85" s="349"/>
      <c r="O85" s="249">
        <f>J85*L85</f>
        <v>1200000</v>
      </c>
    </row>
    <row r="86" spans="1:15" s="190" customFormat="1" ht="21.95" customHeight="1" x14ac:dyDescent="0.15">
      <c r="A86" s="218"/>
      <c r="B86" s="230"/>
      <c r="C86" s="598" t="s">
        <v>171</v>
      </c>
      <c r="D86" s="414">
        <v>9920200</v>
      </c>
      <c r="E86" s="411">
        <f>O86</f>
        <v>9920200</v>
      </c>
      <c r="F86" s="411">
        <f t="shared" si="3"/>
        <v>0</v>
      </c>
      <c r="G86" s="412">
        <f>F86/D86*100</f>
        <v>0</v>
      </c>
      <c r="H86" s="346"/>
      <c r="I86" s="676"/>
      <c r="J86" s="347"/>
      <c r="K86" s="360"/>
      <c r="L86" s="361"/>
      <c r="M86" s="360"/>
      <c r="N86" s="362"/>
      <c r="O86" s="363">
        <v>9920200</v>
      </c>
    </row>
    <row r="87" spans="1:15" s="190" customFormat="1" ht="21.95" customHeight="1" x14ac:dyDescent="0.15">
      <c r="A87" s="218"/>
      <c r="B87" s="230"/>
      <c r="C87" s="250" t="s">
        <v>172</v>
      </c>
      <c r="D87" s="251">
        <v>6405700</v>
      </c>
      <c r="E87" s="252">
        <f>O87</f>
        <v>6405700</v>
      </c>
      <c r="F87" s="252">
        <f t="shared" si="3"/>
        <v>0</v>
      </c>
      <c r="G87" s="253">
        <f>F87/D87*100</f>
        <v>0</v>
      </c>
      <c r="H87" s="364"/>
      <c r="I87" s="365"/>
      <c r="J87" s="366"/>
      <c r="K87" s="398"/>
      <c r="L87" s="555"/>
      <c r="M87" s="398"/>
      <c r="N87" s="399"/>
      <c r="O87" s="556">
        <f>SUM(O88:O96)</f>
        <v>6405700</v>
      </c>
    </row>
    <row r="88" spans="1:15" s="190" customFormat="1" ht="21.95" customHeight="1" x14ac:dyDescent="0.15">
      <c r="A88" s="218"/>
      <c r="B88" s="230"/>
      <c r="C88" s="230"/>
      <c r="D88" s="231"/>
      <c r="E88" s="232"/>
      <c r="F88" s="232"/>
      <c r="G88" s="233"/>
      <c r="H88" s="364">
        <v>1</v>
      </c>
      <c r="I88" s="365" t="s">
        <v>426</v>
      </c>
      <c r="J88" s="366">
        <v>600000</v>
      </c>
      <c r="K88" s="398"/>
      <c r="L88" s="555"/>
      <c r="M88" s="398"/>
      <c r="N88" s="399"/>
      <c r="O88" s="726">
        <f>J88</f>
        <v>600000</v>
      </c>
    </row>
    <row r="89" spans="1:15" s="190" customFormat="1" ht="21.95" customHeight="1" x14ac:dyDescent="0.15">
      <c r="A89" s="218"/>
      <c r="B89" s="230"/>
      <c r="C89" s="230"/>
      <c r="D89" s="231"/>
      <c r="E89" s="232"/>
      <c r="F89" s="232"/>
      <c r="G89" s="233"/>
      <c r="H89" s="278">
        <v>2</v>
      </c>
      <c r="I89" s="264" t="s">
        <v>421</v>
      </c>
      <c r="J89" s="260">
        <v>260000</v>
      </c>
      <c r="K89" s="1082"/>
      <c r="L89" s="1082"/>
      <c r="M89" s="1082"/>
      <c r="N89" s="279"/>
      <c r="O89" s="244">
        <f>J89</f>
        <v>260000</v>
      </c>
    </row>
    <row r="90" spans="1:15" s="190" customFormat="1" ht="21.95" customHeight="1" x14ac:dyDescent="0.15">
      <c r="A90" s="218"/>
      <c r="B90" s="230"/>
      <c r="C90" s="230"/>
      <c r="D90" s="231"/>
      <c r="E90" s="232"/>
      <c r="F90" s="232"/>
      <c r="G90" s="233"/>
      <c r="H90" s="278">
        <v>3</v>
      </c>
      <c r="I90" s="264" t="s">
        <v>422</v>
      </c>
      <c r="J90" s="260">
        <v>341200</v>
      </c>
      <c r="K90" s="1083"/>
      <c r="L90" s="1083"/>
      <c r="M90" s="271"/>
      <c r="N90" s="271"/>
      <c r="O90" s="244">
        <f>J90</f>
        <v>341200</v>
      </c>
    </row>
    <row r="91" spans="1:15" s="190" customFormat="1" ht="21.95" customHeight="1" x14ac:dyDescent="0.15">
      <c r="A91" s="218"/>
      <c r="B91" s="230"/>
      <c r="C91" s="230"/>
      <c r="D91" s="231"/>
      <c r="E91" s="232"/>
      <c r="F91" s="232"/>
      <c r="G91" s="233"/>
      <c r="H91" s="278">
        <v>4</v>
      </c>
      <c r="I91" s="264" t="s">
        <v>423</v>
      </c>
      <c r="J91" s="260">
        <v>30000</v>
      </c>
      <c r="K91" s="238" t="s">
        <v>39</v>
      </c>
      <c r="L91" s="336">
        <v>2</v>
      </c>
      <c r="M91" s="1083"/>
      <c r="N91" s="1083"/>
      <c r="O91" s="244">
        <f>J91*L91</f>
        <v>60000</v>
      </c>
    </row>
    <row r="92" spans="1:15" s="190" customFormat="1" ht="21.95" customHeight="1" thickBot="1" x14ac:dyDescent="0.2">
      <c r="A92" s="506"/>
      <c r="B92" s="507"/>
      <c r="C92" s="507"/>
      <c r="D92" s="651"/>
      <c r="E92" s="652"/>
      <c r="F92" s="652"/>
      <c r="G92" s="495"/>
      <c r="H92" s="496">
        <v>5</v>
      </c>
      <c r="I92" s="818" t="s">
        <v>424</v>
      </c>
      <c r="J92" s="751">
        <v>20000</v>
      </c>
      <c r="K92" s="1084"/>
      <c r="L92" s="1084"/>
      <c r="M92" s="771"/>
      <c r="N92" s="771"/>
      <c r="O92" s="295">
        <f>J92</f>
        <v>20000</v>
      </c>
    </row>
    <row r="93" spans="1:15" s="190" customFormat="1" ht="21.95" customHeight="1" x14ac:dyDescent="0.15">
      <c r="A93" s="218"/>
      <c r="B93" s="230"/>
      <c r="C93" s="230"/>
      <c r="D93" s="231"/>
      <c r="E93" s="232"/>
      <c r="F93" s="232"/>
      <c r="G93" s="233"/>
      <c r="H93" s="278">
        <v>6</v>
      </c>
      <c r="I93" s="264" t="s">
        <v>425</v>
      </c>
      <c r="J93" s="260">
        <v>1100000</v>
      </c>
      <c r="K93" s="1083"/>
      <c r="L93" s="1083"/>
      <c r="M93" s="294"/>
      <c r="N93" s="246"/>
      <c r="O93" s="244">
        <f>J93</f>
        <v>1100000</v>
      </c>
    </row>
    <row r="94" spans="1:15" s="190" customFormat="1" ht="21.95" customHeight="1" x14ac:dyDescent="0.15">
      <c r="A94" s="218"/>
      <c r="B94" s="230"/>
      <c r="C94" s="230"/>
      <c r="D94" s="231"/>
      <c r="E94" s="232"/>
      <c r="F94" s="232"/>
      <c r="G94" s="233"/>
      <c r="H94" s="278">
        <v>7</v>
      </c>
      <c r="I94" s="264" t="s">
        <v>233</v>
      </c>
      <c r="J94" s="260">
        <v>699000</v>
      </c>
      <c r="K94" s="238" t="s">
        <v>39</v>
      </c>
      <c r="L94" s="370">
        <v>4</v>
      </c>
      <c r="M94" s="280"/>
      <c r="N94" s="261"/>
      <c r="O94" s="358">
        <f>J94*L94</f>
        <v>2796000</v>
      </c>
    </row>
    <row r="95" spans="1:15" s="190" customFormat="1" ht="21.95" customHeight="1" x14ac:dyDescent="0.15">
      <c r="A95" s="218"/>
      <c r="B95" s="230"/>
      <c r="C95" s="230"/>
      <c r="D95" s="231"/>
      <c r="E95" s="232"/>
      <c r="F95" s="232"/>
      <c r="G95" s="233"/>
      <c r="H95" s="278">
        <v>8</v>
      </c>
      <c r="I95" s="1081" t="s">
        <v>428</v>
      </c>
      <c r="J95" s="1081"/>
      <c r="K95" s="1080">
        <v>628500</v>
      </c>
      <c r="L95" s="1080"/>
      <c r="M95" s="1080"/>
      <c r="N95" s="261"/>
      <c r="O95" s="358">
        <f>K95</f>
        <v>628500</v>
      </c>
    </row>
    <row r="96" spans="1:15" s="190" customFormat="1" ht="21.95" customHeight="1" x14ac:dyDescent="0.15">
      <c r="A96" s="218"/>
      <c r="B96" s="230"/>
      <c r="C96" s="230"/>
      <c r="D96" s="231"/>
      <c r="E96" s="232"/>
      <c r="F96" s="232"/>
      <c r="G96" s="233"/>
      <c r="H96" s="278">
        <v>9</v>
      </c>
      <c r="I96" s="368" t="s">
        <v>234</v>
      </c>
      <c r="J96" s="260">
        <v>300000</v>
      </c>
      <c r="K96" s="238" t="s">
        <v>39</v>
      </c>
      <c r="L96" s="369">
        <v>2</v>
      </c>
      <c r="M96" s="294"/>
      <c r="N96" s="246"/>
      <c r="O96" s="244">
        <f>J96*L96</f>
        <v>600000</v>
      </c>
    </row>
    <row r="97" spans="1:15" s="190" customFormat="1" ht="21.95" customHeight="1" x14ac:dyDescent="0.15">
      <c r="A97" s="218"/>
      <c r="B97" s="230"/>
      <c r="C97" s="598" t="s">
        <v>173</v>
      </c>
      <c r="D97" s="414">
        <v>1880000</v>
      </c>
      <c r="E97" s="411">
        <f>O97</f>
        <v>1880000</v>
      </c>
      <c r="F97" s="411">
        <f>E97-D97</f>
        <v>0</v>
      </c>
      <c r="G97" s="412">
        <f>F97/D97*100</f>
        <v>0</v>
      </c>
      <c r="H97" s="344"/>
      <c r="I97" s="345"/>
      <c r="J97" s="254"/>
      <c r="K97" s="255"/>
      <c r="L97" s="371"/>
      <c r="M97" s="255"/>
      <c r="N97" s="329"/>
      <c r="O97" s="356">
        <v>1880000</v>
      </c>
    </row>
    <row r="98" spans="1:15" s="190" customFormat="1" ht="21.95" customHeight="1" x14ac:dyDescent="0.15">
      <c r="A98" s="218"/>
      <c r="B98" s="230"/>
      <c r="C98" s="230" t="s">
        <v>174</v>
      </c>
      <c r="D98" s="231">
        <v>1946000</v>
      </c>
      <c r="E98" s="232">
        <f>O98</f>
        <v>1946000</v>
      </c>
      <c r="F98" s="232">
        <f>E98-D98</f>
        <v>0</v>
      </c>
      <c r="G98" s="233">
        <f>F98/D98*100</f>
        <v>0</v>
      </c>
      <c r="H98" s="278"/>
      <c r="I98" s="264"/>
      <c r="J98" s="260"/>
      <c r="K98" s="238"/>
      <c r="L98" s="554"/>
      <c r="M98" s="294"/>
      <c r="N98" s="246"/>
      <c r="O98" s="505">
        <f>SUM(O99:O105)</f>
        <v>1946000</v>
      </c>
    </row>
    <row r="99" spans="1:15" s="190" customFormat="1" ht="21.95" customHeight="1" x14ac:dyDescent="0.15">
      <c r="A99" s="218"/>
      <c r="B99" s="230"/>
      <c r="C99" s="230"/>
      <c r="D99" s="231"/>
      <c r="E99" s="232"/>
      <c r="F99" s="232"/>
      <c r="G99" s="233"/>
      <c r="H99" s="364">
        <v>1</v>
      </c>
      <c r="I99" s="736" t="s">
        <v>385</v>
      </c>
      <c r="J99" s="366">
        <v>200000</v>
      </c>
      <c r="K99" s="367" t="s">
        <v>39</v>
      </c>
      <c r="L99" s="649">
        <v>2</v>
      </c>
      <c r="M99" s="239"/>
      <c r="N99" s="240"/>
      <c r="O99" s="241">
        <f>J99*L99</f>
        <v>400000</v>
      </c>
    </row>
    <row r="100" spans="1:15" s="190" customFormat="1" ht="21.95" customHeight="1" x14ac:dyDescent="0.15">
      <c r="A100" s="218"/>
      <c r="B100" s="230"/>
      <c r="C100" s="230"/>
      <c r="D100" s="231"/>
      <c r="E100" s="232"/>
      <c r="F100" s="232"/>
      <c r="G100" s="233"/>
      <c r="H100" s="278">
        <v>2</v>
      </c>
      <c r="I100" s="368" t="s">
        <v>386</v>
      </c>
      <c r="J100" s="260">
        <v>20000</v>
      </c>
      <c r="K100" s="238" t="s">
        <v>39</v>
      </c>
      <c r="L100" s="369">
        <v>5</v>
      </c>
      <c r="M100" s="294"/>
      <c r="N100" s="246"/>
      <c r="O100" s="244">
        <f>J100*L100</f>
        <v>100000</v>
      </c>
    </row>
    <row r="101" spans="1:15" s="190" customFormat="1" ht="21.95" customHeight="1" x14ac:dyDescent="0.15">
      <c r="A101" s="218"/>
      <c r="B101" s="230"/>
      <c r="C101" s="230"/>
      <c r="D101" s="231"/>
      <c r="E101" s="232"/>
      <c r="F101" s="232"/>
      <c r="G101" s="233"/>
      <c r="H101" s="278">
        <v>3</v>
      </c>
      <c r="I101" s="819" t="s">
        <v>387</v>
      </c>
      <c r="J101" s="260">
        <v>450000</v>
      </c>
      <c r="K101" s="238" t="s">
        <v>39</v>
      </c>
      <c r="L101" s="820">
        <v>1</v>
      </c>
      <c r="M101" s="238"/>
      <c r="N101" s="776"/>
      <c r="O101" s="263">
        <f>J101*L101</f>
        <v>450000</v>
      </c>
    </row>
    <row r="102" spans="1:15" s="190" customFormat="1" ht="21.95" customHeight="1" x14ac:dyDescent="0.15">
      <c r="A102" s="218"/>
      <c r="B102" s="230"/>
      <c r="C102" s="230"/>
      <c r="D102" s="231"/>
      <c r="E102" s="232"/>
      <c r="F102" s="232"/>
      <c r="G102" s="233"/>
      <c r="H102" s="278">
        <v>4</v>
      </c>
      <c r="I102" s="775" t="s">
        <v>388</v>
      </c>
      <c r="J102" s="260">
        <v>48000</v>
      </c>
      <c r="K102" s="238" t="s">
        <v>39</v>
      </c>
      <c r="L102" s="336">
        <v>2</v>
      </c>
      <c r="M102" s="238"/>
      <c r="N102" s="246"/>
      <c r="O102" s="244">
        <f>J102*L102</f>
        <v>96000</v>
      </c>
    </row>
    <row r="103" spans="1:15" s="190" customFormat="1" ht="21.95" customHeight="1" x14ac:dyDescent="0.15">
      <c r="A103" s="218"/>
      <c r="B103" s="230"/>
      <c r="C103" s="230"/>
      <c r="D103" s="231"/>
      <c r="E103" s="232"/>
      <c r="F103" s="232"/>
      <c r="G103" s="233"/>
      <c r="H103" s="602">
        <v>5</v>
      </c>
      <c r="I103" s="264" t="s">
        <v>389</v>
      </c>
      <c r="J103" s="260">
        <v>30000</v>
      </c>
      <c r="K103" s="238" t="s">
        <v>39</v>
      </c>
      <c r="L103" s="336">
        <v>4</v>
      </c>
      <c r="M103" s="238" t="s">
        <v>39</v>
      </c>
      <c r="N103" s="547">
        <v>2</v>
      </c>
      <c r="O103" s="358">
        <f>J103*L103*N103</f>
        <v>240000</v>
      </c>
    </row>
    <row r="104" spans="1:15" s="190" customFormat="1" ht="21.95" customHeight="1" x14ac:dyDescent="0.15">
      <c r="A104" s="218"/>
      <c r="B104" s="230"/>
      <c r="C104" s="230"/>
      <c r="D104" s="231"/>
      <c r="E104" s="232"/>
      <c r="F104" s="232"/>
      <c r="G104" s="233"/>
      <c r="H104" s="278">
        <v>6</v>
      </c>
      <c r="I104" s="264" t="s">
        <v>390</v>
      </c>
      <c r="J104" s="260">
        <v>30000</v>
      </c>
      <c r="K104" s="238" t="s">
        <v>39</v>
      </c>
      <c r="L104" s="279">
        <v>12</v>
      </c>
      <c r="M104" s="280"/>
      <c r="N104" s="261"/>
      <c r="O104" s="358">
        <f>J104*L104</f>
        <v>360000</v>
      </c>
    </row>
    <row r="105" spans="1:15" s="190" customFormat="1" ht="21.95" customHeight="1" thickBot="1" x14ac:dyDescent="0.2">
      <c r="A105" s="218"/>
      <c r="B105" s="230"/>
      <c r="C105" s="230"/>
      <c r="D105" s="231"/>
      <c r="E105" s="232"/>
      <c r="F105" s="232"/>
      <c r="G105" s="233"/>
      <c r="H105" s="278">
        <v>7</v>
      </c>
      <c r="I105" s="368" t="s">
        <v>235</v>
      </c>
      <c r="J105" s="260">
        <v>300000</v>
      </c>
      <c r="K105" s="238" t="s">
        <v>39</v>
      </c>
      <c r="L105" s="369">
        <v>1</v>
      </c>
      <c r="M105" s="294"/>
      <c r="N105" s="246"/>
      <c r="O105" s="244">
        <f>J105*L105</f>
        <v>300000</v>
      </c>
    </row>
    <row r="106" spans="1:15" s="190" customFormat="1" ht="21.95" customHeight="1" thickBot="1" x14ac:dyDescent="0.2">
      <c r="A106" s="1055" t="s">
        <v>175</v>
      </c>
      <c r="B106" s="1056"/>
      <c r="C106" s="1057"/>
      <c r="D106" s="213">
        <f>D107</f>
        <v>3660000</v>
      </c>
      <c r="E106" s="213">
        <f>E108+E112</f>
        <v>11250000</v>
      </c>
      <c r="F106" s="213">
        <f t="shared" ref="F106:F119" si="4">E106-D106</f>
        <v>7590000</v>
      </c>
      <c r="G106" s="323">
        <f>G107</f>
        <v>519.81707317073176</v>
      </c>
      <c r="H106" s="372"/>
      <c r="I106" s="215"/>
      <c r="J106" s="373"/>
      <c r="K106" s="374"/>
      <c r="L106" s="375"/>
      <c r="M106" s="374"/>
      <c r="N106" s="376"/>
      <c r="O106" s="603">
        <f>O107</f>
        <v>11250000</v>
      </c>
    </row>
    <row r="107" spans="1:15" s="190" customFormat="1" ht="21.95" customHeight="1" x14ac:dyDescent="0.15">
      <c r="A107" s="285"/>
      <c r="B107" s="1010" t="s">
        <v>176</v>
      </c>
      <c r="C107" s="1011"/>
      <c r="D107" s="588">
        <f>SUM(D108:D112)</f>
        <v>3660000</v>
      </c>
      <c r="E107" s="588">
        <f>SUM(E108:E112)</f>
        <v>11250000</v>
      </c>
      <c r="F107" s="588">
        <f t="shared" si="4"/>
        <v>7590000</v>
      </c>
      <c r="G107" s="604">
        <f>SUM(G108:G112)</f>
        <v>519.81707317073176</v>
      </c>
      <c r="H107" s="377"/>
      <c r="I107" s="286"/>
      <c r="J107" s="605"/>
      <c r="K107" s="378"/>
      <c r="L107" s="379"/>
      <c r="M107" s="378"/>
      <c r="N107" s="606"/>
      <c r="O107" s="607">
        <f>O108+O112</f>
        <v>11250000</v>
      </c>
    </row>
    <row r="108" spans="1:15" s="190" customFormat="1" ht="21.95" customHeight="1" x14ac:dyDescent="0.15">
      <c r="A108" s="218"/>
      <c r="B108" s="230"/>
      <c r="C108" s="250" t="s">
        <v>177</v>
      </c>
      <c r="D108" s="251">
        <v>1200000</v>
      </c>
      <c r="E108" s="252">
        <f>O108</f>
        <v>6150000</v>
      </c>
      <c r="F108" s="252">
        <f t="shared" si="4"/>
        <v>4950000</v>
      </c>
      <c r="G108" s="253">
        <f>F108/D108*100</f>
        <v>412.5</v>
      </c>
      <c r="H108" s="364"/>
      <c r="I108" s="545"/>
      <c r="J108" s="366"/>
      <c r="K108" s="367"/>
      <c r="L108" s="546"/>
      <c r="M108" s="239"/>
      <c r="N108" s="240"/>
      <c r="O108" s="530">
        <f>SUM(O109:O111)</f>
        <v>6150000</v>
      </c>
    </row>
    <row r="109" spans="1:15" s="190" customFormat="1" ht="21.95" customHeight="1" x14ac:dyDescent="0.15">
      <c r="A109" s="218"/>
      <c r="B109" s="230"/>
      <c r="C109" s="230"/>
      <c r="D109" s="231"/>
      <c r="E109" s="232"/>
      <c r="F109" s="232"/>
      <c r="G109" s="233"/>
      <c r="H109" s="364">
        <v>1</v>
      </c>
      <c r="I109" s="545" t="s">
        <v>409</v>
      </c>
      <c r="J109" s="1065" t="s">
        <v>440</v>
      </c>
      <c r="K109" s="1065"/>
      <c r="L109" s="1065"/>
      <c r="M109" s="1065"/>
      <c r="N109" s="1065"/>
      <c r="O109" s="241">
        <v>0</v>
      </c>
    </row>
    <row r="110" spans="1:15" s="190" customFormat="1" ht="21.95" customHeight="1" x14ac:dyDescent="0.15">
      <c r="A110" s="218"/>
      <c r="B110" s="230"/>
      <c r="C110" s="230"/>
      <c r="D110" s="231"/>
      <c r="E110" s="232"/>
      <c r="F110" s="232"/>
      <c r="G110" s="233"/>
      <c r="H110" s="677">
        <v>2</v>
      </c>
      <c r="I110" s="715" t="s">
        <v>371</v>
      </c>
      <c r="J110" s="716"/>
      <c r="K110" s="681"/>
      <c r="L110" s="682"/>
      <c r="M110" s="718"/>
      <c r="N110" s="719"/>
      <c r="O110" s="680">
        <v>3000000</v>
      </c>
    </row>
    <row r="111" spans="1:15" s="190" customFormat="1" ht="21.95" customHeight="1" x14ac:dyDescent="0.15">
      <c r="A111" s="218"/>
      <c r="B111" s="230"/>
      <c r="C111" s="595"/>
      <c r="D111" s="535"/>
      <c r="E111" s="536"/>
      <c r="F111" s="536"/>
      <c r="G111" s="539"/>
      <c r="H111" s="695">
        <v>3</v>
      </c>
      <c r="I111" s="721" t="s">
        <v>372</v>
      </c>
      <c r="J111" s="697"/>
      <c r="K111" s="698"/>
      <c r="L111" s="722"/>
      <c r="M111" s="723"/>
      <c r="N111" s="724"/>
      <c r="O111" s="725">
        <v>3150000</v>
      </c>
    </row>
    <row r="112" spans="1:15" s="190" customFormat="1" ht="21.95" customHeight="1" x14ac:dyDescent="0.15">
      <c r="A112" s="218"/>
      <c r="B112" s="230"/>
      <c r="C112" s="250" t="s">
        <v>236</v>
      </c>
      <c r="D112" s="251">
        <v>2460000</v>
      </c>
      <c r="E112" s="252">
        <f>O112</f>
        <v>5100000</v>
      </c>
      <c r="F112" s="252">
        <f t="shared" si="4"/>
        <v>2640000</v>
      </c>
      <c r="G112" s="253">
        <f>F112/D112*100</f>
        <v>107.31707317073172</v>
      </c>
      <c r="H112" s="364"/>
      <c r="I112" s="545"/>
      <c r="J112" s="366"/>
      <c r="K112" s="367"/>
      <c r="L112" s="553"/>
      <c r="M112" s="239"/>
      <c r="N112" s="240"/>
      <c r="O112" s="530">
        <f>SUM(O113:O116)</f>
        <v>5100000</v>
      </c>
    </row>
    <row r="113" spans="1:23" s="190" customFormat="1" ht="21.95" customHeight="1" x14ac:dyDescent="0.15">
      <c r="A113" s="218"/>
      <c r="B113" s="230"/>
      <c r="C113" s="608"/>
      <c r="D113" s="231"/>
      <c r="E113" s="232"/>
      <c r="F113" s="232"/>
      <c r="G113" s="233"/>
      <c r="H113" s="364">
        <v>1</v>
      </c>
      <c r="I113" s="545" t="s">
        <v>374</v>
      </c>
      <c r="J113" s="366">
        <v>55000</v>
      </c>
      <c r="K113" s="367" t="s">
        <v>39</v>
      </c>
      <c r="L113" s="553">
        <v>12</v>
      </c>
      <c r="M113" s="239"/>
      <c r="N113" s="240"/>
      <c r="O113" s="241">
        <f>J113*L113</f>
        <v>660000</v>
      </c>
    </row>
    <row r="114" spans="1:23" s="190" customFormat="1" ht="21.95" customHeight="1" x14ac:dyDescent="0.15">
      <c r="A114" s="218"/>
      <c r="B114" s="230"/>
      <c r="C114" s="608"/>
      <c r="D114" s="231"/>
      <c r="E114" s="232"/>
      <c r="F114" s="232"/>
      <c r="G114" s="233"/>
      <c r="H114" s="278">
        <v>2</v>
      </c>
      <c r="I114" s="541" t="s">
        <v>375</v>
      </c>
      <c r="J114" s="260">
        <v>100000</v>
      </c>
      <c r="K114" s="238" t="s">
        <v>39</v>
      </c>
      <c r="L114" s="279">
        <v>12</v>
      </c>
      <c r="M114" s="294"/>
      <c r="N114" s="246"/>
      <c r="O114" s="244">
        <f>J114*L114</f>
        <v>1200000</v>
      </c>
    </row>
    <row r="115" spans="1:23" s="190" customFormat="1" ht="21.95" customHeight="1" thickBot="1" x14ac:dyDescent="0.2">
      <c r="A115" s="506"/>
      <c r="B115" s="507"/>
      <c r="C115" s="821"/>
      <c r="D115" s="651"/>
      <c r="E115" s="652"/>
      <c r="F115" s="652"/>
      <c r="G115" s="495"/>
      <c r="H115" s="496">
        <v>3</v>
      </c>
      <c r="I115" s="822" t="s">
        <v>376</v>
      </c>
      <c r="J115" s="751">
        <v>50000</v>
      </c>
      <c r="K115" s="752" t="s">
        <v>39</v>
      </c>
      <c r="L115" s="796">
        <v>12</v>
      </c>
      <c r="M115" s="823"/>
      <c r="N115" s="791"/>
      <c r="O115" s="295">
        <f>J115*L115</f>
        <v>600000</v>
      </c>
    </row>
    <row r="116" spans="1:23" s="190" customFormat="1" ht="21.95" customHeight="1" thickBot="1" x14ac:dyDescent="0.2">
      <c r="A116" s="218"/>
      <c r="B116" s="230"/>
      <c r="C116" s="608"/>
      <c r="D116" s="231"/>
      <c r="E116" s="232"/>
      <c r="F116" s="232"/>
      <c r="G116" s="233"/>
      <c r="H116" s="677">
        <v>4</v>
      </c>
      <c r="I116" s="715" t="s">
        <v>373</v>
      </c>
      <c r="J116" s="716"/>
      <c r="K116" s="681"/>
      <c r="L116" s="717"/>
      <c r="M116" s="718"/>
      <c r="N116" s="719"/>
      <c r="O116" s="680">
        <v>2640000</v>
      </c>
    </row>
    <row r="117" spans="1:23" s="190" customFormat="1" ht="21.95" customHeight="1" thickBot="1" x14ac:dyDescent="0.2">
      <c r="A117" s="1055" t="s">
        <v>50</v>
      </c>
      <c r="B117" s="1056"/>
      <c r="C117" s="1057"/>
      <c r="D117" s="213">
        <f>D118+D136+D148+D185</f>
        <v>146406970</v>
      </c>
      <c r="E117" s="213">
        <f>E118+E136+E148+E185</f>
        <v>162358458</v>
      </c>
      <c r="F117" s="213">
        <f t="shared" si="4"/>
        <v>15951488</v>
      </c>
      <c r="G117" s="609">
        <f>F117/D117*100</f>
        <v>10.895306418813258</v>
      </c>
      <c r="H117" s="372"/>
      <c r="I117" s="215"/>
      <c r="J117" s="373"/>
      <c r="K117" s="381"/>
      <c r="L117" s="375"/>
      <c r="M117" s="381"/>
      <c r="N117" s="376"/>
      <c r="O117" s="382">
        <f>O118+O136+O148+O185</f>
        <v>162358458</v>
      </c>
    </row>
    <row r="118" spans="1:23" s="190" customFormat="1" ht="21.95" customHeight="1" x14ac:dyDescent="0.15">
      <c r="A118" s="285"/>
      <c r="B118" s="1010" t="s">
        <v>237</v>
      </c>
      <c r="C118" s="1011"/>
      <c r="D118" s="610">
        <f>SUM(D119:D130)</f>
        <v>100949270</v>
      </c>
      <c r="E118" s="610">
        <f>SUM(E119:E130)</f>
        <v>105149270</v>
      </c>
      <c r="F118" s="610">
        <f t="shared" si="4"/>
        <v>4200000</v>
      </c>
      <c r="G118" s="611">
        <f>F118/D118*100</f>
        <v>4.1605055687871744</v>
      </c>
      <c r="H118" s="383"/>
      <c r="I118" s="222"/>
      <c r="J118" s="384"/>
      <c r="K118" s="385"/>
      <c r="L118" s="386"/>
      <c r="M118" s="385"/>
      <c r="N118" s="387"/>
      <c r="O118" s="388">
        <f>O119+O127+O128+O130</f>
        <v>105149270</v>
      </c>
    </row>
    <row r="119" spans="1:23" s="190" customFormat="1" ht="21.95" customHeight="1" x14ac:dyDescent="0.15">
      <c r="A119" s="218"/>
      <c r="B119" s="250"/>
      <c r="C119" s="596" t="s">
        <v>238</v>
      </c>
      <c r="D119" s="251">
        <v>72649270</v>
      </c>
      <c r="E119" s="252">
        <f>O119</f>
        <v>72649270</v>
      </c>
      <c r="F119" s="252">
        <f t="shared" si="4"/>
        <v>0</v>
      </c>
      <c r="G119" s="253">
        <f>F119/D119*100</f>
        <v>0</v>
      </c>
      <c r="H119" s="344"/>
      <c r="I119" s="345"/>
      <c r="J119" s="254"/>
      <c r="K119" s="371"/>
      <c r="L119" s="355"/>
      <c r="M119" s="371"/>
      <c r="N119" s="236"/>
      <c r="O119" s="237">
        <f>SUM(O120:O126)</f>
        <v>72649270</v>
      </c>
    </row>
    <row r="120" spans="1:23" s="190" customFormat="1" ht="21.95" customHeight="1" x14ac:dyDescent="0.15">
      <c r="A120" s="218"/>
      <c r="B120" s="230"/>
      <c r="C120" s="597"/>
      <c r="D120" s="231"/>
      <c r="E120" s="232"/>
      <c r="F120" s="232"/>
      <c r="G120" s="233"/>
      <c r="H120" s="278">
        <v>1</v>
      </c>
      <c r="I120" s="264" t="s">
        <v>432</v>
      </c>
      <c r="J120" s="260">
        <v>5500000</v>
      </c>
      <c r="K120" s="238" t="s">
        <v>39</v>
      </c>
      <c r="L120" s="266">
        <v>12</v>
      </c>
      <c r="M120" s="811"/>
      <c r="N120" s="246"/>
      <c r="O120" s="241">
        <f>J120*L120</f>
        <v>66000000</v>
      </c>
    </row>
    <row r="121" spans="1:23" s="190" customFormat="1" ht="21.95" customHeight="1" x14ac:dyDescent="0.15">
      <c r="A121" s="218"/>
      <c r="B121" s="230"/>
      <c r="C121" s="597"/>
      <c r="D121" s="231"/>
      <c r="E121" s="232"/>
      <c r="F121" s="232"/>
      <c r="G121" s="233"/>
      <c r="H121" s="278">
        <v>2</v>
      </c>
      <c r="I121" s="264" t="s">
        <v>239</v>
      </c>
      <c r="J121" s="260">
        <v>13200</v>
      </c>
      <c r="K121" s="238" t="s">
        <v>39</v>
      </c>
      <c r="L121" s="336">
        <v>23</v>
      </c>
      <c r="M121" s="238"/>
      <c r="N121" s="246"/>
      <c r="O121" s="244">
        <f>J121*L121</f>
        <v>303600</v>
      </c>
    </row>
    <row r="122" spans="1:23" s="190" customFormat="1" ht="21.95" customHeight="1" x14ac:dyDescent="0.15">
      <c r="A122" s="218"/>
      <c r="B122" s="230"/>
      <c r="C122" s="597"/>
      <c r="D122" s="231"/>
      <c r="E122" s="232"/>
      <c r="F122" s="232"/>
      <c r="G122" s="233"/>
      <c r="H122" s="278">
        <v>3</v>
      </c>
      <c r="I122" s="264" t="s">
        <v>240</v>
      </c>
      <c r="J122" s="260">
        <v>14500</v>
      </c>
      <c r="K122" s="238" t="s">
        <v>39</v>
      </c>
      <c r="L122" s="336">
        <v>23</v>
      </c>
      <c r="M122" s="238"/>
      <c r="N122" s="246"/>
      <c r="O122" s="244">
        <f>J122*L122</f>
        <v>333500</v>
      </c>
    </row>
    <row r="123" spans="1:23" s="325" customFormat="1" ht="21.95" customHeight="1" x14ac:dyDescent="0.15">
      <c r="A123" s="218"/>
      <c r="B123" s="230"/>
      <c r="C123" s="597"/>
      <c r="D123" s="231"/>
      <c r="E123" s="232"/>
      <c r="F123" s="232"/>
      <c r="G123" s="233"/>
      <c r="H123" s="278">
        <v>4</v>
      </c>
      <c r="I123" s="264" t="s">
        <v>241</v>
      </c>
      <c r="J123" s="260">
        <v>35394</v>
      </c>
      <c r="K123" s="238" t="s">
        <v>39</v>
      </c>
      <c r="L123" s="336">
        <v>22</v>
      </c>
      <c r="M123" s="238"/>
      <c r="N123" s="246"/>
      <c r="O123" s="244">
        <f>J123*L123+2</f>
        <v>778670</v>
      </c>
    </row>
    <row r="124" spans="1:23" s="190" customFormat="1" ht="21.95" customHeight="1" x14ac:dyDescent="0.15">
      <c r="A124" s="218"/>
      <c r="B124" s="230"/>
      <c r="C124" s="597"/>
      <c r="D124" s="231"/>
      <c r="E124" s="232"/>
      <c r="F124" s="232"/>
      <c r="G124" s="233"/>
      <c r="H124" s="278">
        <v>5</v>
      </c>
      <c r="I124" s="264" t="s">
        <v>242</v>
      </c>
      <c r="J124" s="260">
        <v>36300</v>
      </c>
      <c r="K124" s="238" t="s">
        <v>39</v>
      </c>
      <c r="L124" s="336">
        <v>23</v>
      </c>
      <c r="M124" s="238"/>
      <c r="N124" s="389" t="s">
        <v>243</v>
      </c>
      <c r="O124" s="244">
        <f>J124*L124</f>
        <v>834900</v>
      </c>
    </row>
    <row r="125" spans="1:23" s="190" customFormat="1" ht="21.95" customHeight="1" x14ac:dyDescent="0.15">
      <c r="A125" s="218"/>
      <c r="B125" s="230"/>
      <c r="C125" s="597"/>
      <c r="D125" s="231"/>
      <c r="E125" s="232"/>
      <c r="F125" s="232"/>
      <c r="G125" s="233"/>
      <c r="H125" s="278"/>
      <c r="I125" s="264"/>
      <c r="J125" s="260">
        <v>36300</v>
      </c>
      <c r="K125" s="238" t="s">
        <v>39</v>
      </c>
      <c r="L125" s="336">
        <v>22</v>
      </c>
      <c r="M125" s="238"/>
      <c r="N125" s="389" t="s">
        <v>244</v>
      </c>
      <c r="O125" s="244">
        <f>J125*L125</f>
        <v>798600</v>
      </c>
    </row>
    <row r="126" spans="1:23" s="190" customFormat="1" ht="21.95" customHeight="1" x14ac:dyDescent="0.15">
      <c r="A126" s="218"/>
      <c r="B126" s="230"/>
      <c r="C126" s="597"/>
      <c r="D126" s="231"/>
      <c r="E126" s="232"/>
      <c r="F126" s="232"/>
      <c r="G126" s="233"/>
      <c r="H126" s="278">
        <v>6</v>
      </c>
      <c r="I126" s="264" t="s">
        <v>433</v>
      </c>
      <c r="J126" s="260">
        <v>300000</v>
      </c>
      <c r="K126" s="238" t="s">
        <v>39</v>
      </c>
      <c r="L126" s="266">
        <v>12</v>
      </c>
      <c r="M126" s="238"/>
      <c r="N126" s="246"/>
      <c r="O126" s="244">
        <f>J126*L126</f>
        <v>3600000</v>
      </c>
      <c r="Q126" s="807"/>
      <c r="R126" s="808"/>
      <c r="S126" s="543"/>
      <c r="T126" s="809"/>
      <c r="U126" s="543"/>
      <c r="V126" s="810"/>
      <c r="W126" s="812"/>
    </row>
    <row r="127" spans="1:23" s="190" customFormat="1" ht="21.95" customHeight="1" x14ac:dyDescent="0.15">
      <c r="A127" s="218"/>
      <c r="B127" s="230"/>
      <c r="C127" s="596" t="s">
        <v>416</v>
      </c>
      <c r="D127" s="251">
        <v>3600000</v>
      </c>
      <c r="E127" s="252">
        <v>3600000</v>
      </c>
      <c r="F127" s="252">
        <f>E127-D127</f>
        <v>0</v>
      </c>
      <c r="G127" s="253">
        <f t="shared" ref="G127:G142" si="5">F127/D127*100</f>
        <v>0</v>
      </c>
      <c r="H127" s="364"/>
      <c r="I127" s="365"/>
      <c r="J127" s="366"/>
      <c r="K127" s="592"/>
      <c r="L127" s="592"/>
      <c r="M127" s="592"/>
      <c r="N127" s="399"/>
      <c r="O127" s="556">
        <v>3600000</v>
      </c>
    </row>
    <row r="128" spans="1:23" s="190" customFormat="1" ht="21.95" customHeight="1" x14ac:dyDescent="0.15">
      <c r="A128" s="218"/>
      <c r="B128" s="230"/>
      <c r="C128" s="250" t="s">
        <v>181</v>
      </c>
      <c r="D128" s="659">
        <v>16500000</v>
      </c>
      <c r="E128" s="252">
        <f>O128</f>
        <v>17700000</v>
      </c>
      <c r="F128" s="252">
        <f>E128-D128</f>
        <v>1200000</v>
      </c>
      <c r="G128" s="253">
        <f t="shared" si="5"/>
        <v>7.2727272727272725</v>
      </c>
      <c r="H128" s="364"/>
      <c r="I128" s="365"/>
      <c r="J128" s="366"/>
      <c r="K128" s="367"/>
      <c r="L128" s="553"/>
      <c r="M128" s="367"/>
      <c r="N128" s="240"/>
      <c r="O128" s="530">
        <v>17700000</v>
      </c>
    </row>
    <row r="129" spans="1:15" s="190" customFormat="1" ht="21.95" customHeight="1" x14ac:dyDescent="0.15">
      <c r="A129" s="218"/>
      <c r="B129" s="230"/>
      <c r="C129" s="230"/>
      <c r="D129" s="612"/>
      <c r="E129" s="232"/>
      <c r="F129" s="232"/>
      <c r="G129" s="233"/>
      <c r="H129" s="695">
        <v>1</v>
      </c>
      <c r="I129" s="1051" t="s">
        <v>434</v>
      </c>
      <c r="J129" s="1051"/>
      <c r="K129" s="1051"/>
      <c r="L129" s="1051"/>
      <c r="M129" s="1051"/>
      <c r="N129" s="1051"/>
      <c r="O129" s="714">
        <v>1200000</v>
      </c>
    </row>
    <row r="130" spans="1:15" s="190" customFormat="1" ht="21.95" customHeight="1" x14ac:dyDescent="0.15">
      <c r="A130" s="218"/>
      <c r="B130" s="230"/>
      <c r="C130" s="250" t="s">
        <v>245</v>
      </c>
      <c r="D130" s="251">
        <v>8200000</v>
      </c>
      <c r="E130" s="252">
        <f>O130</f>
        <v>11200000</v>
      </c>
      <c r="F130" s="252">
        <f>E130-D130</f>
        <v>3000000</v>
      </c>
      <c r="G130" s="253">
        <f t="shared" si="5"/>
        <v>36.585365853658537</v>
      </c>
      <c r="H130" s="364"/>
      <c r="I130" s="365"/>
      <c r="J130" s="366"/>
      <c r="K130" s="367"/>
      <c r="L130" s="553"/>
      <c r="M130" s="367"/>
      <c r="N130" s="553"/>
      <c r="O130" s="505">
        <f>SUM(O131:O135)</f>
        <v>11200000</v>
      </c>
    </row>
    <row r="131" spans="1:15" s="190" customFormat="1" ht="21.95" customHeight="1" x14ac:dyDescent="0.15">
      <c r="A131" s="218"/>
      <c r="B131" s="230"/>
      <c r="C131" s="230"/>
      <c r="D131" s="613"/>
      <c r="E131" s="614"/>
      <c r="F131" s="232"/>
      <c r="G131" s="233"/>
      <c r="H131" s="364">
        <v>1</v>
      </c>
      <c r="I131" s="365" t="s">
        <v>406</v>
      </c>
      <c r="J131" s="366">
        <v>300000</v>
      </c>
      <c r="K131" s="367" t="s">
        <v>39</v>
      </c>
      <c r="L131" s="553">
        <v>6</v>
      </c>
      <c r="M131" s="367"/>
      <c r="N131" s="553"/>
      <c r="O131" s="241">
        <f>J131*L131</f>
        <v>1800000</v>
      </c>
    </row>
    <row r="132" spans="1:15" s="190" customFormat="1" ht="21.95" customHeight="1" x14ac:dyDescent="0.15">
      <c r="A132" s="218"/>
      <c r="B132" s="230"/>
      <c r="C132" s="230"/>
      <c r="D132" s="613"/>
      <c r="E132" s="614"/>
      <c r="F132" s="232"/>
      <c r="G132" s="233"/>
      <c r="H132" s="278">
        <v>2</v>
      </c>
      <c r="I132" s="264" t="s">
        <v>407</v>
      </c>
      <c r="J132" s="260">
        <v>500000</v>
      </c>
      <c r="K132" s="238" t="s">
        <v>39</v>
      </c>
      <c r="L132" s="279">
        <v>12</v>
      </c>
      <c r="M132" s="238"/>
      <c r="N132" s="279"/>
      <c r="O132" s="244">
        <f>J132*L132</f>
        <v>6000000</v>
      </c>
    </row>
    <row r="133" spans="1:15" s="190" customFormat="1" ht="21.95" customHeight="1" x14ac:dyDescent="0.15">
      <c r="A133" s="218"/>
      <c r="B133" s="230"/>
      <c r="C133" s="230"/>
      <c r="D133" s="613"/>
      <c r="E133" s="614"/>
      <c r="F133" s="232"/>
      <c r="G133" s="233"/>
      <c r="H133" s="278">
        <v>3</v>
      </c>
      <c r="I133" s="264" t="s">
        <v>408</v>
      </c>
      <c r="J133" s="260">
        <v>100000</v>
      </c>
      <c r="K133" s="238" t="s">
        <v>39</v>
      </c>
      <c r="L133" s="369">
        <v>4</v>
      </c>
      <c r="M133" s="238"/>
      <c r="N133" s="279"/>
      <c r="O133" s="244">
        <f>J133*L133</f>
        <v>400000</v>
      </c>
    </row>
    <row r="134" spans="1:15" s="190" customFormat="1" ht="21.95" customHeight="1" x14ac:dyDescent="0.15">
      <c r="A134" s="218"/>
      <c r="B134" s="230"/>
      <c r="C134" s="230"/>
      <c r="D134" s="613"/>
      <c r="E134" s="614"/>
      <c r="F134" s="232"/>
      <c r="G134" s="233"/>
      <c r="H134" s="677">
        <v>4</v>
      </c>
      <c r="I134" s="727" t="s">
        <v>401</v>
      </c>
      <c r="J134" s="716"/>
      <c r="K134" s="681"/>
      <c r="L134" s="717"/>
      <c r="M134" s="681"/>
      <c r="N134" s="717"/>
      <c r="O134" s="680">
        <v>600000</v>
      </c>
    </row>
    <row r="135" spans="1:15" s="190" customFormat="1" ht="21.95" customHeight="1" x14ac:dyDescent="0.15">
      <c r="A135" s="218"/>
      <c r="B135" s="595"/>
      <c r="C135" s="595"/>
      <c r="D135" s="615"/>
      <c r="E135" s="616"/>
      <c r="F135" s="536"/>
      <c r="G135" s="539"/>
      <c r="H135" s="695">
        <v>5</v>
      </c>
      <c r="I135" s="1051" t="s">
        <v>400</v>
      </c>
      <c r="J135" s="1051"/>
      <c r="K135" s="1051"/>
      <c r="L135" s="1051"/>
      <c r="M135" s="1051"/>
      <c r="N135" s="1051"/>
      <c r="O135" s="725">
        <v>2400000</v>
      </c>
    </row>
    <row r="136" spans="1:15" s="190" customFormat="1" ht="21.95" customHeight="1" x14ac:dyDescent="0.15">
      <c r="A136" s="218"/>
      <c r="B136" s="1053" t="s">
        <v>417</v>
      </c>
      <c r="C136" s="1054"/>
      <c r="D136" s="610">
        <f>SUM(D137:D146)</f>
        <v>9448000</v>
      </c>
      <c r="E136" s="610">
        <f>SUM(E137:E146)</f>
        <v>9765710</v>
      </c>
      <c r="F136" s="617">
        <f>E136-D136</f>
        <v>317710</v>
      </c>
      <c r="G136" s="618">
        <f t="shared" si="5"/>
        <v>3.3627222692633358</v>
      </c>
      <c r="H136" s="350"/>
      <c r="I136" s="351"/>
      <c r="J136" s="352"/>
      <c r="K136" s="401"/>
      <c r="L136" s="354"/>
      <c r="M136" s="401"/>
      <c r="N136" s="402"/>
      <c r="O136" s="403">
        <f>SUM(O137+O138+O139+O140+O141+O142)</f>
        <v>9765710</v>
      </c>
    </row>
    <row r="137" spans="1:15" s="190" customFormat="1" ht="21.95" customHeight="1" thickBot="1" x14ac:dyDescent="0.2">
      <c r="A137" s="506"/>
      <c r="B137" s="806"/>
      <c r="C137" s="772" t="s">
        <v>246</v>
      </c>
      <c r="D137" s="759">
        <v>100000</v>
      </c>
      <c r="E137" s="652">
        <f>O137</f>
        <v>100000</v>
      </c>
      <c r="F137" s="652">
        <f>E137-D137</f>
        <v>0</v>
      </c>
      <c r="G137" s="495">
        <f t="shared" si="5"/>
        <v>0</v>
      </c>
      <c r="H137" s="496"/>
      <c r="I137" s="795"/>
      <c r="J137" s="751"/>
      <c r="K137" s="752"/>
      <c r="L137" s="765"/>
      <c r="M137" s="467"/>
      <c r="N137" s="468"/>
      <c r="O137" s="824">
        <v>100000</v>
      </c>
    </row>
    <row r="138" spans="1:15" s="190" customFormat="1" ht="21.95" customHeight="1" x14ac:dyDescent="0.15">
      <c r="A138" s="218"/>
      <c r="B138" s="503"/>
      <c r="C138" s="392" t="s">
        <v>247</v>
      </c>
      <c r="D138" s="621">
        <v>50000</v>
      </c>
      <c r="E138" s="536">
        <f>O138</f>
        <v>50000</v>
      </c>
      <c r="F138" s="536">
        <f t="shared" ref="F138:F142" si="6">E138-D138</f>
        <v>0</v>
      </c>
      <c r="G138" s="539">
        <f t="shared" si="5"/>
        <v>0</v>
      </c>
      <c r="H138" s="346"/>
      <c r="I138" s="404"/>
      <c r="J138" s="347"/>
      <c r="K138" s="348"/>
      <c r="L138" s="394"/>
      <c r="M138" s="360"/>
      <c r="N138" s="362"/>
      <c r="O138" s="395">
        <v>50000</v>
      </c>
    </row>
    <row r="139" spans="1:15" s="190" customFormat="1" ht="21.95" customHeight="1" x14ac:dyDescent="0.15">
      <c r="A139" s="218"/>
      <c r="B139" s="503"/>
      <c r="C139" s="392" t="s">
        <v>248</v>
      </c>
      <c r="D139" s="621">
        <v>3600000</v>
      </c>
      <c r="E139" s="536">
        <f t="shared" ref="E139:E142" si="7">O139</f>
        <v>3600000</v>
      </c>
      <c r="F139" s="536">
        <f t="shared" si="6"/>
        <v>0</v>
      </c>
      <c r="G139" s="539">
        <f t="shared" si="5"/>
        <v>0</v>
      </c>
      <c r="H139" s="346"/>
      <c r="I139" s="404"/>
      <c r="J139" s="347"/>
      <c r="K139" s="348"/>
      <c r="L139" s="394"/>
      <c r="M139" s="360"/>
      <c r="N139" s="362"/>
      <c r="O139" s="395">
        <v>3600000</v>
      </c>
    </row>
    <row r="140" spans="1:15" s="190" customFormat="1" ht="21.95" customHeight="1" x14ac:dyDescent="0.15">
      <c r="A140" s="218"/>
      <c r="B140" s="503"/>
      <c r="C140" s="392" t="s">
        <v>249</v>
      </c>
      <c r="D140" s="621">
        <v>750000</v>
      </c>
      <c r="E140" s="536">
        <f t="shared" si="7"/>
        <v>750000</v>
      </c>
      <c r="F140" s="536">
        <f t="shared" si="6"/>
        <v>0</v>
      </c>
      <c r="G140" s="539">
        <f t="shared" si="5"/>
        <v>0</v>
      </c>
      <c r="H140" s="346"/>
      <c r="I140" s="404"/>
      <c r="J140" s="347"/>
      <c r="K140" s="348"/>
      <c r="L140" s="394"/>
      <c r="M140" s="360"/>
      <c r="N140" s="362"/>
      <c r="O140" s="390">
        <v>750000</v>
      </c>
    </row>
    <row r="141" spans="1:15" s="190" customFormat="1" ht="21.95" customHeight="1" x14ac:dyDescent="0.15">
      <c r="A141" s="218"/>
      <c r="B141" s="503"/>
      <c r="C141" s="392" t="s">
        <v>250</v>
      </c>
      <c r="D141" s="621">
        <v>600000</v>
      </c>
      <c r="E141" s="536">
        <f t="shared" si="7"/>
        <v>600000</v>
      </c>
      <c r="F141" s="536">
        <f t="shared" si="6"/>
        <v>0</v>
      </c>
      <c r="G141" s="539">
        <f t="shared" si="5"/>
        <v>0</v>
      </c>
      <c r="H141" s="346"/>
      <c r="I141" s="404"/>
      <c r="J141" s="347"/>
      <c r="K141" s="348"/>
      <c r="L141" s="394"/>
      <c r="M141" s="360"/>
      <c r="N141" s="362"/>
      <c r="O141" s="390">
        <v>600000</v>
      </c>
    </row>
    <row r="142" spans="1:15" s="190" customFormat="1" ht="21.95" customHeight="1" x14ac:dyDescent="0.15">
      <c r="A142" s="218"/>
      <c r="B142" s="503"/>
      <c r="C142" s="230" t="s">
        <v>251</v>
      </c>
      <c r="D142" s="619">
        <v>4348000</v>
      </c>
      <c r="E142" s="232">
        <f t="shared" si="7"/>
        <v>4665710</v>
      </c>
      <c r="F142" s="232">
        <f t="shared" si="6"/>
        <v>317710</v>
      </c>
      <c r="G142" s="233">
        <f t="shared" si="5"/>
        <v>7.3070377184912605</v>
      </c>
      <c r="H142" s="278"/>
      <c r="I142" s="264"/>
      <c r="J142" s="260"/>
      <c r="K142" s="238"/>
      <c r="L142" s="279"/>
      <c r="M142" s="238"/>
      <c r="N142" s="400"/>
      <c r="O142" s="505">
        <f>SUM(O143:O147)</f>
        <v>4665710</v>
      </c>
    </row>
    <row r="143" spans="1:15" s="190" customFormat="1" ht="21.95" customHeight="1" x14ac:dyDescent="0.15">
      <c r="A143" s="218"/>
      <c r="B143" s="503"/>
      <c r="C143" s="230"/>
      <c r="D143" s="619"/>
      <c r="E143" s="232"/>
      <c r="F143" s="232"/>
      <c r="G143" s="233"/>
      <c r="H143" s="737">
        <v>1</v>
      </c>
      <c r="I143" s="738" t="s">
        <v>252</v>
      </c>
      <c r="J143" s="1052" t="s">
        <v>442</v>
      </c>
      <c r="K143" s="1052"/>
      <c r="L143" s="1052"/>
      <c r="M143" s="1052"/>
      <c r="N143" s="1052"/>
      <c r="O143" s="739">
        <v>257710</v>
      </c>
    </row>
    <row r="144" spans="1:15" s="190" customFormat="1" ht="21.95" customHeight="1" x14ac:dyDescent="0.15">
      <c r="A144" s="218"/>
      <c r="B144" s="503"/>
      <c r="C144" s="230"/>
      <c r="D144" s="619"/>
      <c r="E144" s="232"/>
      <c r="F144" s="232"/>
      <c r="G144" s="233"/>
      <c r="H144" s="278">
        <v>2</v>
      </c>
      <c r="I144" s="264" t="s">
        <v>253</v>
      </c>
      <c r="J144" s="260">
        <v>427500</v>
      </c>
      <c r="K144" s="238" t="s">
        <v>39</v>
      </c>
      <c r="L144" s="279">
        <v>1</v>
      </c>
      <c r="M144" s="238"/>
      <c r="N144" s="400"/>
      <c r="O144" s="244">
        <f>J144*L144</f>
        <v>427500</v>
      </c>
    </row>
    <row r="145" spans="1:15" s="190" customFormat="1" ht="21.95" customHeight="1" x14ac:dyDescent="0.15">
      <c r="A145" s="218"/>
      <c r="B145" s="503"/>
      <c r="C145" s="230"/>
      <c r="D145" s="619"/>
      <c r="E145" s="232"/>
      <c r="F145" s="232"/>
      <c r="G145" s="233"/>
      <c r="H145" s="278"/>
      <c r="I145" s="264"/>
      <c r="J145" s="260">
        <v>325500</v>
      </c>
      <c r="K145" s="238" t="s">
        <v>39</v>
      </c>
      <c r="L145" s="279">
        <v>11</v>
      </c>
      <c r="M145" s="238"/>
      <c r="N145" s="400"/>
      <c r="O145" s="244">
        <f>J145*L145</f>
        <v>3580500</v>
      </c>
    </row>
    <row r="146" spans="1:15" s="190" customFormat="1" ht="21.95" customHeight="1" x14ac:dyDescent="0.15">
      <c r="A146" s="218"/>
      <c r="B146" s="503"/>
      <c r="C146" s="230"/>
      <c r="D146" s="619"/>
      <c r="E146" s="232"/>
      <c r="F146" s="232"/>
      <c r="G146" s="233"/>
      <c r="H146" s="278">
        <v>3</v>
      </c>
      <c r="I146" s="264" t="s">
        <v>254</v>
      </c>
      <c r="J146" s="260"/>
      <c r="K146" s="238"/>
      <c r="L146" s="279"/>
      <c r="M146" s="238"/>
      <c r="N146" s="400"/>
      <c r="O146" s="244">
        <v>100000</v>
      </c>
    </row>
    <row r="147" spans="1:15" s="190" customFormat="1" ht="21.95" customHeight="1" x14ac:dyDescent="0.15">
      <c r="A147" s="218"/>
      <c r="B147" s="622"/>
      <c r="C147" s="595"/>
      <c r="D147" s="623"/>
      <c r="E147" s="616"/>
      <c r="F147" s="616"/>
      <c r="G147" s="624"/>
      <c r="H147" s="728">
        <v>4</v>
      </c>
      <c r="I147" s="729" t="s">
        <v>427</v>
      </c>
      <c r="J147" s="728"/>
      <c r="K147" s="728"/>
      <c r="L147" s="728"/>
      <c r="M147" s="728"/>
      <c r="N147" s="728"/>
      <c r="O147" s="948">
        <v>300000</v>
      </c>
    </row>
    <row r="148" spans="1:15" s="190" customFormat="1" ht="21.95" customHeight="1" x14ac:dyDescent="0.15">
      <c r="A148" s="218"/>
      <c r="B148" s="1053" t="s">
        <v>413</v>
      </c>
      <c r="C148" s="1054"/>
      <c r="D148" s="610">
        <f>SUM(D149:D181)</f>
        <v>35009700</v>
      </c>
      <c r="E148" s="610">
        <f>SUM(E149:E181)</f>
        <v>46443478</v>
      </c>
      <c r="F148" s="610">
        <f>E148-D148</f>
        <v>11433778</v>
      </c>
      <c r="G148" s="611">
        <f>F148/D148*100</f>
        <v>32.658885965889453</v>
      </c>
      <c r="H148" s="350"/>
      <c r="I148" s="351"/>
      <c r="J148" s="352"/>
      <c r="K148" s="401"/>
      <c r="L148" s="354"/>
      <c r="M148" s="401"/>
      <c r="N148" s="402"/>
      <c r="O148" s="403">
        <f>O149+O150+O153+O157+O164+O170+O175+O181</f>
        <v>46443478</v>
      </c>
    </row>
    <row r="149" spans="1:15" s="190" customFormat="1" ht="21.95" customHeight="1" x14ac:dyDescent="0.15">
      <c r="A149" s="218"/>
      <c r="B149" s="250"/>
      <c r="C149" s="410" t="s">
        <v>255</v>
      </c>
      <c r="D149" s="620">
        <v>800000</v>
      </c>
      <c r="E149" s="411">
        <f>O149</f>
        <v>800000</v>
      </c>
      <c r="F149" s="411">
        <f>E149-D149</f>
        <v>0</v>
      </c>
      <c r="G149" s="412">
        <f>F149/D149*100</f>
        <v>0</v>
      </c>
      <c r="H149" s="344"/>
      <c r="I149" s="393"/>
      <c r="J149" s="254"/>
      <c r="K149" s="328"/>
      <c r="L149" s="380"/>
      <c r="M149" s="255"/>
      <c r="N149" s="329"/>
      <c r="O149" s="390">
        <v>800000</v>
      </c>
    </row>
    <row r="150" spans="1:15" s="190" customFormat="1" ht="27" customHeight="1" x14ac:dyDescent="0.15">
      <c r="A150" s="218"/>
      <c r="B150" s="230"/>
      <c r="C150" s="466" t="s">
        <v>256</v>
      </c>
      <c r="D150" s="619">
        <v>885000</v>
      </c>
      <c r="E150" s="232">
        <f>O150</f>
        <v>885000</v>
      </c>
      <c r="F150" s="232">
        <f>E150-D150</f>
        <v>0</v>
      </c>
      <c r="G150" s="233">
        <f>F150/D150*100</f>
        <v>0</v>
      </c>
      <c r="H150" s="346"/>
      <c r="I150" s="404"/>
      <c r="J150" s="347"/>
      <c r="K150" s="348"/>
      <c r="L150" s="394"/>
      <c r="M150" s="360"/>
      <c r="N150" s="362"/>
      <c r="O150" s="390">
        <v>885000</v>
      </c>
    </row>
    <row r="151" spans="1:15" s="190" customFormat="1" ht="21.95" customHeight="1" x14ac:dyDescent="0.15">
      <c r="A151" s="218"/>
      <c r="B151" s="230"/>
      <c r="C151" s="396"/>
      <c r="D151" s="619"/>
      <c r="E151" s="232"/>
      <c r="F151" s="232"/>
      <c r="G151" s="233"/>
      <c r="H151" s="364">
        <v>1</v>
      </c>
      <c r="I151" s="391" t="s">
        <v>257</v>
      </c>
      <c r="J151" s="366"/>
      <c r="K151" s="367"/>
      <c r="L151" s="397"/>
      <c r="M151" s="398"/>
      <c r="N151" s="399"/>
      <c r="O151" s="241"/>
    </row>
    <row r="152" spans="1:15" s="190" customFormat="1" ht="21.95" customHeight="1" x14ac:dyDescent="0.15">
      <c r="A152" s="218"/>
      <c r="B152" s="230"/>
      <c r="C152" s="396"/>
      <c r="D152" s="619"/>
      <c r="E152" s="232"/>
      <c r="F152" s="232"/>
      <c r="G152" s="233"/>
      <c r="H152" s="278"/>
      <c r="I152" s="548" t="s">
        <v>209</v>
      </c>
      <c r="J152" s="260">
        <v>200000</v>
      </c>
      <c r="K152" s="238" t="s">
        <v>39</v>
      </c>
      <c r="L152" s="336">
        <v>1</v>
      </c>
      <c r="M152" s="280"/>
      <c r="N152" s="261"/>
      <c r="O152" s="244">
        <v>200000</v>
      </c>
    </row>
    <row r="153" spans="1:15" s="190" customFormat="1" ht="21.95" customHeight="1" x14ac:dyDescent="0.15">
      <c r="A153" s="218"/>
      <c r="B153" s="230"/>
      <c r="C153" s="625" t="s">
        <v>258</v>
      </c>
      <c r="D153" s="626">
        <v>100000</v>
      </c>
      <c r="E153" s="252">
        <f>O153</f>
        <v>757000</v>
      </c>
      <c r="F153" s="252">
        <f>E153-D153</f>
        <v>657000</v>
      </c>
      <c r="G153" s="253">
        <f>F153/D153*100</f>
        <v>657</v>
      </c>
      <c r="H153" s="364"/>
      <c r="I153" s="391"/>
      <c r="J153" s="366"/>
      <c r="K153" s="367"/>
      <c r="L153" s="397"/>
      <c r="M153" s="398"/>
      <c r="N153" s="399"/>
      <c r="O153" s="530">
        <f>SUM(O154:O156)</f>
        <v>757000</v>
      </c>
    </row>
    <row r="154" spans="1:15" s="190" customFormat="1" ht="21.95" customHeight="1" x14ac:dyDescent="0.15">
      <c r="A154" s="218"/>
      <c r="B154" s="230"/>
      <c r="C154" s="396"/>
      <c r="D154" s="619"/>
      <c r="E154" s="232"/>
      <c r="F154" s="232"/>
      <c r="G154" s="233"/>
      <c r="H154" s="364">
        <v>1</v>
      </c>
      <c r="I154" s="391" t="s">
        <v>412</v>
      </c>
      <c r="J154" s="366"/>
      <c r="K154" s="367"/>
      <c r="L154" s="649"/>
      <c r="M154" s="398"/>
      <c r="N154" s="399"/>
      <c r="O154" s="241">
        <v>50000</v>
      </c>
    </row>
    <row r="155" spans="1:15" s="190" customFormat="1" ht="21.95" customHeight="1" x14ac:dyDescent="0.15">
      <c r="A155" s="218"/>
      <c r="B155" s="230"/>
      <c r="C155" s="396"/>
      <c r="D155" s="619"/>
      <c r="E155" s="232"/>
      <c r="F155" s="232"/>
      <c r="G155" s="233"/>
      <c r="H155" s="278">
        <v>2</v>
      </c>
      <c r="I155" s="1061" t="s">
        <v>429</v>
      </c>
      <c r="J155" s="1061"/>
      <c r="K155" s="1061"/>
      <c r="L155" s="1061"/>
      <c r="M155" s="280"/>
      <c r="N155" s="261"/>
      <c r="O155" s="244">
        <v>50000</v>
      </c>
    </row>
    <row r="156" spans="1:15" s="190" customFormat="1" ht="21.95" customHeight="1" x14ac:dyDescent="0.15">
      <c r="A156" s="218"/>
      <c r="B156" s="230"/>
      <c r="C156" s="392"/>
      <c r="D156" s="621"/>
      <c r="E156" s="536"/>
      <c r="F156" s="536"/>
      <c r="G156" s="539"/>
      <c r="H156" s="695">
        <v>3</v>
      </c>
      <c r="I156" s="696" t="s">
        <v>410</v>
      </c>
      <c r="J156" s="697" t="s">
        <v>411</v>
      </c>
      <c r="K156" s="698"/>
      <c r="L156" s="712"/>
      <c r="M156" s="713"/>
      <c r="N156" s="700"/>
      <c r="O156" s="714">
        <v>657000</v>
      </c>
    </row>
    <row r="157" spans="1:15" s="190" customFormat="1" ht="21.95" customHeight="1" x14ac:dyDescent="0.15">
      <c r="A157" s="218"/>
      <c r="B157" s="230"/>
      <c r="C157" s="628" t="s">
        <v>259</v>
      </c>
      <c r="D157" s="626">
        <v>11500700</v>
      </c>
      <c r="E157" s="252">
        <f>O157</f>
        <v>16490700</v>
      </c>
      <c r="F157" s="252">
        <f>E157-D157</f>
        <v>4990000</v>
      </c>
      <c r="G157" s="253">
        <f>F157/D157*100</f>
        <v>43.388663298755723</v>
      </c>
      <c r="H157" s="344"/>
      <c r="I157" s="393"/>
      <c r="J157" s="254"/>
      <c r="K157" s="328"/>
      <c r="L157" s="380"/>
      <c r="M157" s="255"/>
      <c r="N157" s="329"/>
      <c r="O157" s="390">
        <f>SUM(O158:O163)</f>
        <v>16490700</v>
      </c>
    </row>
    <row r="158" spans="1:15" s="190" customFormat="1" ht="21.95" customHeight="1" x14ac:dyDescent="0.15">
      <c r="A158" s="218"/>
      <c r="B158" s="230"/>
      <c r="C158" s="627"/>
      <c r="D158" s="619"/>
      <c r="E158" s="232"/>
      <c r="F158" s="232"/>
      <c r="G158" s="233"/>
      <c r="H158" s="278">
        <v>1</v>
      </c>
      <c r="I158" s="1060" t="s">
        <v>377</v>
      </c>
      <c r="J158" s="1060"/>
      <c r="K158" s="1060"/>
      <c r="L158" s="1060"/>
      <c r="M158" s="1060"/>
      <c r="N158" s="1060"/>
      <c r="O158" s="244">
        <v>270000</v>
      </c>
    </row>
    <row r="159" spans="1:15" s="190" customFormat="1" ht="21.95" customHeight="1" x14ac:dyDescent="0.15">
      <c r="A159" s="218"/>
      <c r="B159" s="230"/>
      <c r="C159" s="627"/>
      <c r="D159" s="619"/>
      <c r="E159" s="232"/>
      <c r="F159" s="232"/>
      <c r="G159" s="233"/>
      <c r="H159" s="278">
        <v>2</v>
      </c>
      <c r="I159" s="1061" t="s">
        <v>430</v>
      </c>
      <c r="J159" s="1061"/>
      <c r="K159" s="1061"/>
      <c r="L159" s="1061"/>
      <c r="M159" s="1061"/>
      <c r="N159" s="1061"/>
      <c r="O159" s="244">
        <v>5591700</v>
      </c>
    </row>
    <row r="160" spans="1:15" s="190" customFormat="1" ht="21.95" customHeight="1" thickBot="1" x14ac:dyDescent="0.2">
      <c r="A160" s="506"/>
      <c r="B160" s="507"/>
      <c r="C160" s="774"/>
      <c r="D160" s="759"/>
      <c r="E160" s="652"/>
      <c r="F160" s="652"/>
      <c r="G160" s="495"/>
      <c r="H160" s="496"/>
      <c r="I160" s="1062" t="s">
        <v>431</v>
      </c>
      <c r="J160" s="1062"/>
      <c r="K160" s="1062"/>
      <c r="L160" s="1062"/>
      <c r="M160" s="1062"/>
      <c r="N160" s="1062"/>
      <c r="O160" s="295">
        <v>639000</v>
      </c>
    </row>
    <row r="161" spans="1:15" s="190" customFormat="1" ht="21.95" customHeight="1" x14ac:dyDescent="0.15">
      <c r="A161" s="218"/>
      <c r="B161" s="230"/>
      <c r="C161" s="627"/>
      <c r="D161" s="619"/>
      <c r="E161" s="232"/>
      <c r="F161" s="232"/>
      <c r="G161" s="233"/>
      <c r="H161" s="278">
        <v>3</v>
      </c>
      <c r="I161" s="548" t="s">
        <v>378</v>
      </c>
      <c r="J161" s="550"/>
      <c r="K161" s="272"/>
      <c r="L161" s="551"/>
      <c r="M161" s="264"/>
      <c r="N161" s="552"/>
      <c r="O161" s="244">
        <v>200000</v>
      </c>
    </row>
    <row r="162" spans="1:15" s="190" customFormat="1" ht="21.95" customHeight="1" x14ac:dyDescent="0.15">
      <c r="A162" s="218"/>
      <c r="B162" s="230"/>
      <c r="C162" s="627"/>
      <c r="D162" s="619"/>
      <c r="E162" s="232"/>
      <c r="F162" s="232"/>
      <c r="G162" s="233"/>
      <c r="H162" s="278">
        <v>4</v>
      </c>
      <c r="I162" s="1061" t="s">
        <v>379</v>
      </c>
      <c r="J162" s="1061"/>
      <c r="K162" s="1061"/>
      <c r="L162" s="1061"/>
      <c r="M162" s="1061"/>
      <c r="N162" s="1061"/>
      <c r="O162" s="281">
        <v>4800000</v>
      </c>
    </row>
    <row r="163" spans="1:15" s="190" customFormat="1" ht="21.95" customHeight="1" x14ac:dyDescent="0.15">
      <c r="A163" s="218"/>
      <c r="B163" s="230"/>
      <c r="C163" s="627"/>
      <c r="D163" s="619"/>
      <c r="E163" s="232"/>
      <c r="F163" s="232"/>
      <c r="G163" s="233"/>
      <c r="H163" s="695">
        <v>5</v>
      </c>
      <c r="I163" s="1058" t="s">
        <v>379</v>
      </c>
      <c r="J163" s="1058"/>
      <c r="K163" s="1058"/>
      <c r="L163" s="1058"/>
      <c r="M163" s="1058"/>
      <c r="N163" s="1058"/>
      <c r="O163" s="711">
        <v>4990000</v>
      </c>
    </row>
    <row r="164" spans="1:15" s="190" customFormat="1" ht="21.95" customHeight="1" x14ac:dyDescent="0.15">
      <c r="A164" s="218"/>
      <c r="B164" s="230"/>
      <c r="C164" s="629" t="s">
        <v>260</v>
      </c>
      <c r="D164" s="626">
        <v>10705000</v>
      </c>
      <c r="E164" s="252">
        <f>O164</f>
        <v>13072850</v>
      </c>
      <c r="F164" s="252">
        <f>E164-D164</f>
        <v>2367850</v>
      </c>
      <c r="G164" s="253">
        <f>F164/D164*100</f>
        <v>22.119103222793086</v>
      </c>
      <c r="H164" s="364"/>
      <c r="I164" s="391"/>
      <c r="J164" s="366"/>
      <c r="K164" s="367"/>
      <c r="L164" s="546"/>
      <c r="M164" s="398"/>
      <c r="N164" s="399"/>
      <c r="O164" s="505">
        <f>SUM(O165:O169)</f>
        <v>13072850</v>
      </c>
    </row>
    <row r="165" spans="1:15" s="190" customFormat="1" ht="21.95" customHeight="1" x14ac:dyDescent="0.15">
      <c r="A165" s="218"/>
      <c r="B165" s="230"/>
      <c r="C165" s="630"/>
      <c r="D165" s="619"/>
      <c r="E165" s="232"/>
      <c r="F165" s="232"/>
      <c r="G165" s="233"/>
      <c r="H165" s="364">
        <v>1</v>
      </c>
      <c r="I165" s="740" t="s">
        <v>261</v>
      </c>
      <c r="J165" s="527">
        <v>70000</v>
      </c>
      <c r="K165" s="528" t="s">
        <v>262</v>
      </c>
      <c r="L165" s="741">
        <v>2</v>
      </c>
      <c r="M165" s="367"/>
      <c r="N165" s="742"/>
      <c r="O165" s="241">
        <f>J165*L165</f>
        <v>140000</v>
      </c>
    </row>
    <row r="166" spans="1:15" s="190" customFormat="1" ht="21.95" customHeight="1" x14ac:dyDescent="0.15">
      <c r="A166" s="218"/>
      <c r="B166" s="230"/>
      <c r="C166" s="630"/>
      <c r="D166" s="619"/>
      <c r="E166" s="232"/>
      <c r="F166" s="232"/>
      <c r="G166" s="233"/>
      <c r="H166" s="542">
        <v>2</v>
      </c>
      <c r="I166" s="557" t="s">
        <v>403</v>
      </c>
      <c r="J166" s="558">
        <v>200000</v>
      </c>
      <c r="K166" s="559" t="s">
        <v>226</v>
      </c>
      <c r="L166" s="560">
        <v>6</v>
      </c>
      <c r="M166" s="543" t="s">
        <v>39</v>
      </c>
      <c r="N166" s="561">
        <v>2</v>
      </c>
      <c r="O166" s="544">
        <f>J166*L166*N166</f>
        <v>2400000</v>
      </c>
    </row>
    <row r="167" spans="1:15" s="190" customFormat="1" ht="21.95" customHeight="1" x14ac:dyDescent="0.15">
      <c r="A167" s="218"/>
      <c r="B167" s="230"/>
      <c r="C167" s="630"/>
      <c r="D167" s="619"/>
      <c r="E167" s="232"/>
      <c r="F167" s="232"/>
      <c r="G167" s="233"/>
      <c r="H167" s="702">
        <v>3</v>
      </c>
      <c r="I167" s="703" t="s">
        <v>404</v>
      </c>
      <c r="J167" s="704">
        <v>50000</v>
      </c>
      <c r="K167" s="705" t="s">
        <v>39</v>
      </c>
      <c r="L167" s="706">
        <v>23</v>
      </c>
      <c r="M167" s="707"/>
      <c r="N167" s="708"/>
      <c r="O167" s="709">
        <f>J167*L167</f>
        <v>1150000</v>
      </c>
    </row>
    <row r="168" spans="1:15" s="190" customFormat="1" ht="21.95" customHeight="1" x14ac:dyDescent="0.15">
      <c r="A168" s="218"/>
      <c r="B168" s="230"/>
      <c r="C168" s="630"/>
      <c r="D168" s="619"/>
      <c r="E168" s="232"/>
      <c r="F168" s="232"/>
      <c r="G168" s="233"/>
      <c r="H168" s="702">
        <v>4</v>
      </c>
      <c r="I168" s="703" t="s">
        <v>229</v>
      </c>
      <c r="J168" s="704"/>
      <c r="K168" s="705"/>
      <c r="L168" s="710"/>
      <c r="M168" s="707"/>
      <c r="N168" s="708"/>
      <c r="O168" s="709">
        <v>7280000</v>
      </c>
    </row>
    <row r="169" spans="1:15" s="190" customFormat="1" ht="21.95" customHeight="1" x14ac:dyDescent="0.15">
      <c r="A169" s="218"/>
      <c r="B169" s="230"/>
      <c r="C169" s="630"/>
      <c r="D169" s="619"/>
      <c r="E169" s="232"/>
      <c r="F169" s="232"/>
      <c r="G169" s="233"/>
      <c r="H169" s="695">
        <v>5</v>
      </c>
      <c r="I169" s="696" t="s">
        <v>402</v>
      </c>
      <c r="J169" s="697"/>
      <c r="K169" s="698"/>
      <c r="L169" s="699"/>
      <c r="M169" s="698"/>
      <c r="N169" s="700"/>
      <c r="O169" s="701">
        <v>2102850</v>
      </c>
    </row>
    <row r="170" spans="1:15" s="190" customFormat="1" ht="21.95" customHeight="1" x14ac:dyDescent="0.15">
      <c r="A170" s="218"/>
      <c r="B170" s="230"/>
      <c r="C170" s="628" t="s">
        <v>263</v>
      </c>
      <c r="D170" s="626">
        <v>7409000</v>
      </c>
      <c r="E170" s="252">
        <f>O170</f>
        <v>7409000</v>
      </c>
      <c r="F170" s="252">
        <f>E170-D170</f>
        <v>0</v>
      </c>
      <c r="G170" s="253">
        <f>F170/D170*100</f>
        <v>0</v>
      </c>
      <c r="H170" s="364"/>
      <c r="I170" s="391"/>
      <c r="J170" s="366"/>
      <c r="K170" s="367"/>
      <c r="L170" s="546"/>
      <c r="M170" s="398"/>
      <c r="N170" s="399"/>
      <c r="O170" s="530">
        <f>SUM(O171:O174)</f>
        <v>7409000</v>
      </c>
    </row>
    <row r="171" spans="1:15" s="190" customFormat="1" ht="35.25" customHeight="1" x14ac:dyDescent="0.15">
      <c r="A171" s="218"/>
      <c r="B171" s="230"/>
      <c r="C171" s="627"/>
      <c r="D171" s="619"/>
      <c r="E171" s="232"/>
      <c r="F171" s="232"/>
      <c r="G171" s="233"/>
      <c r="H171" s="687">
        <v>1</v>
      </c>
      <c r="I171" s="688" t="s">
        <v>420</v>
      </c>
      <c r="J171" s="689">
        <v>143000</v>
      </c>
      <c r="K171" s="690" t="s">
        <v>39</v>
      </c>
      <c r="L171" s="691">
        <v>7</v>
      </c>
      <c r="M171" s="692"/>
      <c r="N171" s="693"/>
      <c r="O171" s="694">
        <f>J171*L171</f>
        <v>1001000</v>
      </c>
    </row>
    <row r="172" spans="1:15" s="190" customFormat="1" ht="21.95" customHeight="1" x14ac:dyDescent="0.15">
      <c r="A172" s="218"/>
      <c r="B172" s="230"/>
      <c r="C172" s="627"/>
      <c r="D172" s="619"/>
      <c r="E172" s="232"/>
      <c r="F172" s="232"/>
      <c r="G172" s="233"/>
      <c r="H172" s="278">
        <v>2</v>
      </c>
      <c r="I172" s="549" t="s">
        <v>264</v>
      </c>
      <c r="J172" s="260">
        <v>70000</v>
      </c>
      <c r="K172" s="238" t="s">
        <v>39</v>
      </c>
      <c r="L172" s="279">
        <v>12</v>
      </c>
      <c r="M172" s="238" t="s">
        <v>39</v>
      </c>
      <c r="N172" s="261">
        <v>7</v>
      </c>
      <c r="O172" s="281">
        <f>J172*L172*N172</f>
        <v>5880000</v>
      </c>
    </row>
    <row r="173" spans="1:15" s="190" customFormat="1" ht="21.95" customHeight="1" x14ac:dyDescent="0.15">
      <c r="A173" s="218"/>
      <c r="B173" s="230"/>
      <c r="C173" s="627"/>
      <c r="D173" s="619"/>
      <c r="E173" s="232"/>
      <c r="F173" s="232"/>
      <c r="G173" s="233"/>
      <c r="H173" s="278"/>
      <c r="I173" s="1059" t="s">
        <v>265</v>
      </c>
      <c r="J173" s="1059"/>
      <c r="K173" s="1059"/>
      <c r="L173" s="1059"/>
      <c r="M173" s="1059"/>
      <c r="N173" s="1059"/>
      <c r="O173" s="281"/>
    </row>
    <row r="174" spans="1:15" s="190" customFormat="1" ht="30.75" customHeight="1" x14ac:dyDescent="0.15">
      <c r="A174" s="218"/>
      <c r="B174" s="230"/>
      <c r="C174" s="631"/>
      <c r="D174" s="621"/>
      <c r="E174" s="536"/>
      <c r="F174" s="536"/>
      <c r="G174" s="539"/>
      <c r="H174" s="346">
        <v>3</v>
      </c>
      <c r="I174" s="825" t="s">
        <v>266</v>
      </c>
      <c r="J174" s="826">
        <v>44000</v>
      </c>
      <c r="K174" s="827" t="s">
        <v>39</v>
      </c>
      <c r="L174" s="828">
        <v>12</v>
      </c>
      <c r="M174" s="519"/>
      <c r="N174" s="519"/>
      <c r="O174" s="829">
        <v>528000</v>
      </c>
    </row>
    <row r="175" spans="1:15" s="190" customFormat="1" ht="21.95" customHeight="1" x14ac:dyDescent="0.15">
      <c r="A175" s="218"/>
      <c r="B175" s="230"/>
      <c r="C175" s="627" t="s">
        <v>267</v>
      </c>
      <c r="D175" s="619">
        <v>2860000</v>
      </c>
      <c r="E175" s="232">
        <f>O175</f>
        <v>6278928</v>
      </c>
      <c r="F175" s="232">
        <f>E175-D175</f>
        <v>3418928</v>
      </c>
      <c r="G175" s="233">
        <f>F175/D175*100</f>
        <v>119.54293706293706</v>
      </c>
      <c r="H175" s="278"/>
      <c r="I175" s="674"/>
      <c r="J175" s="260"/>
      <c r="K175" s="238"/>
      <c r="L175" s="405"/>
      <c r="M175" s="280"/>
      <c r="N175" s="261"/>
      <c r="O175" s="505">
        <f>SUM(O176:O180)</f>
        <v>6278928</v>
      </c>
    </row>
    <row r="176" spans="1:15" s="190" customFormat="1" ht="21.95" customHeight="1" x14ac:dyDescent="0.15">
      <c r="A176" s="218"/>
      <c r="B176" s="230"/>
      <c r="C176" s="627"/>
      <c r="D176" s="619"/>
      <c r="E176" s="232"/>
      <c r="F176" s="232"/>
      <c r="G176" s="233"/>
      <c r="H176" s="737">
        <v>1</v>
      </c>
      <c r="I176" s="743" t="s">
        <v>268</v>
      </c>
      <c r="J176" s="744"/>
      <c r="K176" s="744"/>
      <c r="L176" s="744"/>
      <c r="M176" s="744"/>
      <c r="N176" s="744"/>
      <c r="O176" s="739">
        <v>1008000</v>
      </c>
    </row>
    <row r="177" spans="1:15" s="190" customFormat="1" ht="21.95" customHeight="1" x14ac:dyDescent="0.15">
      <c r="A177" s="218"/>
      <c r="B177" s="230"/>
      <c r="C177" s="627"/>
      <c r="D177" s="619"/>
      <c r="E177" s="232"/>
      <c r="F177" s="232"/>
      <c r="G177" s="233"/>
      <c r="H177" s="677">
        <v>2</v>
      </c>
      <c r="I177" s="678" t="s">
        <v>269</v>
      </c>
      <c r="J177" s="679"/>
      <c r="K177" s="679"/>
      <c r="L177" s="679"/>
      <c r="M177" s="679"/>
      <c r="N177" s="679"/>
      <c r="O177" s="680">
        <v>974000</v>
      </c>
    </row>
    <row r="178" spans="1:15" s="190" customFormat="1" ht="21.95" customHeight="1" x14ac:dyDescent="0.15">
      <c r="A178" s="218"/>
      <c r="B178" s="230"/>
      <c r="C178" s="627"/>
      <c r="D178" s="619"/>
      <c r="E178" s="232"/>
      <c r="F178" s="232"/>
      <c r="G178" s="233"/>
      <c r="H178" s="677">
        <v>3</v>
      </c>
      <c r="I178" s="678" t="s">
        <v>405</v>
      </c>
      <c r="J178" s="679"/>
      <c r="K178" s="681"/>
      <c r="L178" s="682"/>
      <c r="M178" s="683"/>
      <c r="N178" s="684"/>
      <c r="O178" s="680">
        <v>2755000</v>
      </c>
    </row>
    <row r="179" spans="1:15" s="190" customFormat="1" ht="21.95" customHeight="1" x14ac:dyDescent="0.15">
      <c r="A179" s="218"/>
      <c r="B179" s="230"/>
      <c r="C179" s="627"/>
      <c r="D179" s="619"/>
      <c r="E179" s="232"/>
      <c r="F179" s="232"/>
      <c r="G179" s="233"/>
      <c r="H179" s="677">
        <v>4</v>
      </c>
      <c r="I179" s="678" t="s">
        <v>391</v>
      </c>
      <c r="J179" s="679"/>
      <c r="K179" s="681"/>
      <c r="L179" s="682"/>
      <c r="M179" s="683"/>
      <c r="N179" s="684"/>
      <c r="O179" s="680">
        <v>121928</v>
      </c>
    </row>
    <row r="180" spans="1:15" s="190" customFormat="1" ht="21.95" customHeight="1" x14ac:dyDescent="0.15">
      <c r="A180" s="218"/>
      <c r="B180" s="230"/>
      <c r="C180" s="631"/>
      <c r="D180" s="621"/>
      <c r="E180" s="536"/>
      <c r="F180" s="536"/>
      <c r="G180" s="539"/>
      <c r="H180" s="346">
        <v>5</v>
      </c>
      <c r="I180" s="404" t="s">
        <v>270</v>
      </c>
      <c r="J180" s="519"/>
      <c r="K180" s="348"/>
      <c r="L180" s="394"/>
      <c r="M180" s="360"/>
      <c r="N180" s="362"/>
      <c r="O180" s="249">
        <v>1420000</v>
      </c>
    </row>
    <row r="181" spans="1:15" s="190" customFormat="1" ht="21.95" customHeight="1" x14ac:dyDescent="0.15">
      <c r="A181" s="218"/>
      <c r="B181" s="230"/>
      <c r="C181" s="632" t="s">
        <v>271</v>
      </c>
      <c r="D181" s="619">
        <v>750000</v>
      </c>
      <c r="E181" s="252">
        <f>O181</f>
        <v>750000</v>
      </c>
      <c r="F181" s="252">
        <f>E181-D181</f>
        <v>0</v>
      </c>
      <c r="G181" s="253">
        <f>F181/D181*100</f>
        <v>0</v>
      </c>
      <c r="H181" s="278"/>
      <c r="I181" s="548"/>
      <c r="J181" s="260"/>
      <c r="K181" s="238"/>
      <c r="L181" s="405"/>
      <c r="M181" s="280"/>
      <c r="N181" s="261"/>
      <c r="O181" s="505">
        <f>SUM(O182:O184)</f>
        <v>750000</v>
      </c>
    </row>
    <row r="182" spans="1:15" s="190" customFormat="1" ht="21.95" customHeight="1" thickBot="1" x14ac:dyDescent="0.2">
      <c r="A182" s="506"/>
      <c r="B182" s="507"/>
      <c r="C182" s="830"/>
      <c r="D182" s="761"/>
      <c r="E182" s="762"/>
      <c r="F182" s="762"/>
      <c r="G182" s="763"/>
      <c r="H182" s="754">
        <v>1</v>
      </c>
      <c r="I182" s="831" t="s">
        <v>392</v>
      </c>
      <c r="J182" s="756">
        <v>60000</v>
      </c>
      <c r="K182" s="766" t="s">
        <v>290</v>
      </c>
      <c r="L182" s="773">
        <v>3</v>
      </c>
      <c r="M182" s="757"/>
      <c r="N182" s="758"/>
      <c r="O182" s="832">
        <f>J182*L182</f>
        <v>180000</v>
      </c>
    </row>
    <row r="183" spans="1:15" s="190" customFormat="1" ht="31.5" customHeight="1" x14ac:dyDescent="0.15">
      <c r="A183" s="218"/>
      <c r="B183" s="230"/>
      <c r="C183" s="633"/>
      <c r="D183" s="634"/>
      <c r="E183" s="614"/>
      <c r="F183" s="614"/>
      <c r="G183" s="635"/>
      <c r="H183" s="278">
        <v>2</v>
      </c>
      <c r="I183" s="549" t="s">
        <v>393</v>
      </c>
      <c r="J183" s="260">
        <v>60000</v>
      </c>
      <c r="K183" s="238" t="s">
        <v>226</v>
      </c>
      <c r="L183" s="405">
        <v>2</v>
      </c>
      <c r="M183" s="280"/>
      <c r="N183" s="261"/>
      <c r="O183" s="281">
        <f>J183*L183</f>
        <v>120000</v>
      </c>
    </row>
    <row r="184" spans="1:15" s="190" customFormat="1" ht="21.95" customHeight="1" thickBot="1" x14ac:dyDescent="0.2">
      <c r="A184" s="506"/>
      <c r="B184" s="507"/>
      <c r="C184" s="760"/>
      <c r="D184" s="761"/>
      <c r="E184" s="762"/>
      <c r="F184" s="762"/>
      <c r="G184" s="763"/>
      <c r="H184" s="496">
        <v>3</v>
      </c>
      <c r="I184" s="764" t="s">
        <v>394</v>
      </c>
      <c r="J184" s="751">
        <v>450000</v>
      </c>
      <c r="K184" s="752"/>
      <c r="L184" s="765"/>
      <c r="M184" s="467"/>
      <c r="N184" s="468"/>
      <c r="O184" s="654">
        <f>J184</f>
        <v>450000</v>
      </c>
    </row>
    <row r="185" spans="1:15" s="190" customFormat="1" ht="21.95" customHeight="1" x14ac:dyDescent="0.15">
      <c r="A185" s="218"/>
      <c r="B185" s="1053" t="s">
        <v>272</v>
      </c>
      <c r="C185" s="1054"/>
      <c r="D185" s="610">
        <f>SUM(D186:D187)</f>
        <v>1000000</v>
      </c>
      <c r="E185" s="610">
        <f>SUM(E186:E187)</f>
        <v>1000000</v>
      </c>
      <c r="F185" s="610">
        <f>E185-D185</f>
        <v>0</v>
      </c>
      <c r="G185" s="611">
        <v>0</v>
      </c>
      <c r="H185" s="350"/>
      <c r="I185" s="351"/>
      <c r="J185" s="352"/>
      <c r="K185" s="401"/>
      <c r="L185" s="354"/>
      <c r="M185" s="401"/>
      <c r="N185" s="402"/>
      <c r="O185" s="403">
        <f>O186</f>
        <v>1000000</v>
      </c>
    </row>
    <row r="186" spans="1:15" s="190" customFormat="1" ht="21.95" customHeight="1" x14ac:dyDescent="0.15">
      <c r="A186" s="218"/>
      <c r="B186" s="250"/>
      <c r="C186" s="628" t="s">
        <v>272</v>
      </c>
      <c r="D186" s="626">
        <v>1000000</v>
      </c>
      <c r="E186" s="252">
        <f>O186</f>
        <v>1000000</v>
      </c>
      <c r="F186" s="252">
        <f>E186-D186</f>
        <v>0</v>
      </c>
      <c r="G186" s="253">
        <v>0</v>
      </c>
      <c r="H186" s="346"/>
      <c r="I186" s="404"/>
      <c r="J186" s="347"/>
      <c r="K186" s="348"/>
      <c r="L186" s="394"/>
      <c r="M186" s="360"/>
      <c r="N186" s="362"/>
      <c r="O186" s="390">
        <f>SUM(O187:O187)</f>
        <v>1000000</v>
      </c>
    </row>
    <row r="187" spans="1:15" s="190" customFormat="1" ht="21.95" customHeight="1" thickBot="1" x14ac:dyDescent="0.2">
      <c r="A187" s="218"/>
      <c r="B187" s="230"/>
      <c r="C187" s="627"/>
      <c r="D187" s="619"/>
      <c r="E187" s="232"/>
      <c r="F187" s="232"/>
      <c r="G187" s="233"/>
      <c r="H187" s="278">
        <v>1</v>
      </c>
      <c r="I187" s="548" t="s">
        <v>273</v>
      </c>
      <c r="J187" s="260"/>
      <c r="K187" s="238"/>
      <c r="L187" s="405"/>
      <c r="M187" s="467"/>
      <c r="N187" s="468"/>
      <c r="O187" s="295">
        <v>1000000</v>
      </c>
    </row>
    <row r="188" spans="1:15" s="190" customFormat="1" ht="21.95" customHeight="1" thickBot="1" x14ac:dyDescent="0.2">
      <c r="A188" s="1055" t="s">
        <v>199</v>
      </c>
      <c r="B188" s="1056"/>
      <c r="C188" s="1057"/>
      <c r="D188" s="213">
        <f>D189</f>
        <v>118540</v>
      </c>
      <c r="E188" s="213">
        <f>E189</f>
        <v>118540</v>
      </c>
      <c r="F188" s="213">
        <f t="shared" ref="F188:F194" si="8">E188-D188</f>
        <v>0</v>
      </c>
      <c r="G188" s="323">
        <f t="shared" ref="G188" si="9">F188/D188*100</f>
        <v>0</v>
      </c>
      <c r="H188" s="372"/>
      <c r="I188" s="215"/>
      <c r="J188" s="374"/>
      <c r="K188" s="381"/>
      <c r="L188" s="375"/>
      <c r="M188" s="406"/>
      <c r="N188" s="407"/>
      <c r="O188" s="408">
        <f>O189</f>
        <v>118540</v>
      </c>
    </row>
    <row r="189" spans="1:15" s="190" customFormat="1" ht="21.95" customHeight="1" x14ac:dyDescent="0.15">
      <c r="A189" s="285"/>
      <c r="B189" s="1010" t="str">
        <f>A188</f>
        <v>잡지출</v>
      </c>
      <c r="C189" s="1011"/>
      <c r="D189" s="219">
        <f>SUM(D190:D190)</f>
        <v>118540</v>
      </c>
      <c r="E189" s="219">
        <f>SUM(E190:E190)</f>
        <v>118540</v>
      </c>
      <c r="F189" s="220">
        <f t="shared" si="8"/>
        <v>0</v>
      </c>
      <c r="G189" s="310">
        <f>F189/D189*100</f>
        <v>0</v>
      </c>
      <c r="H189" s="377"/>
      <c r="I189" s="286"/>
      <c r="J189" s="378"/>
      <c r="K189" s="418"/>
      <c r="L189" s="379"/>
      <c r="M189" s="418"/>
      <c r="N189" s="419"/>
      <c r="O189" s="420">
        <f>O190</f>
        <v>118540</v>
      </c>
    </row>
    <row r="190" spans="1:15" s="190" customFormat="1" ht="21.95" customHeight="1" thickBot="1" x14ac:dyDescent="0.2">
      <c r="A190" s="218"/>
      <c r="B190" s="503"/>
      <c r="C190" s="230" t="s">
        <v>199</v>
      </c>
      <c r="D190" s="231">
        <v>118540</v>
      </c>
      <c r="E190" s="231">
        <f>O190</f>
        <v>118540</v>
      </c>
      <c r="F190" s="232">
        <f t="shared" si="8"/>
        <v>0</v>
      </c>
      <c r="G190" s="233">
        <f>F190/D190*100</f>
        <v>0</v>
      </c>
      <c r="H190" s="416"/>
      <c r="I190" s="417"/>
      <c r="J190" s="417"/>
      <c r="K190" s="417"/>
      <c r="L190" s="417"/>
      <c r="M190" s="417"/>
      <c r="N190" s="417"/>
      <c r="O190" s="390">
        <v>118540</v>
      </c>
    </row>
    <row r="191" spans="1:15" s="126" customFormat="1" ht="21.95" customHeight="1" thickBot="1" x14ac:dyDescent="0.2">
      <c r="A191" s="1055" t="s">
        <v>200</v>
      </c>
      <c r="B191" s="1056"/>
      <c r="C191" s="1057"/>
      <c r="D191" s="213">
        <f>D192</f>
        <v>80150</v>
      </c>
      <c r="E191" s="636">
        <f>E192</f>
        <v>338662</v>
      </c>
      <c r="F191" s="636">
        <f t="shared" si="8"/>
        <v>258512</v>
      </c>
      <c r="G191" s="323">
        <v>0</v>
      </c>
      <c r="H191" s="637"/>
      <c r="I191" s="215"/>
      <c r="J191" s="373"/>
      <c r="K191" s="638"/>
      <c r="L191" s="639"/>
      <c r="M191" s="381"/>
      <c r="N191" s="586"/>
      <c r="O191" s="603">
        <f>O192</f>
        <v>338662</v>
      </c>
    </row>
    <row r="192" spans="1:15" s="126" customFormat="1" ht="21.95" customHeight="1" x14ac:dyDescent="0.15">
      <c r="A192" s="285"/>
      <c r="B192" s="1063" t="str">
        <f>A191</f>
        <v>예비비 및 기타</v>
      </c>
      <c r="C192" s="1064"/>
      <c r="D192" s="588">
        <f>SUM(D193:D196)</f>
        <v>80150</v>
      </c>
      <c r="E192" s="588">
        <f>SUM(E193:E196)</f>
        <v>338662</v>
      </c>
      <c r="F192" s="588">
        <f t="shared" si="8"/>
        <v>258512</v>
      </c>
      <c r="G192" s="640">
        <v>0</v>
      </c>
      <c r="H192" s="641"/>
      <c r="I192" s="351"/>
      <c r="J192" s="642"/>
      <c r="K192" s="643"/>
      <c r="L192" s="644"/>
      <c r="M192" s="401"/>
      <c r="N192" s="645"/>
      <c r="O192" s="646">
        <f>O193+O194</f>
        <v>338662</v>
      </c>
    </row>
    <row r="193" spans="1:15" s="126" customFormat="1" ht="21.95" customHeight="1" x14ac:dyDescent="0.15">
      <c r="A193" s="218"/>
      <c r="B193" s="250"/>
      <c r="C193" s="413" t="s">
        <v>418</v>
      </c>
      <c r="D193" s="414">
        <v>0</v>
      </c>
      <c r="E193" s="411">
        <f>O193</f>
        <v>0</v>
      </c>
      <c r="F193" s="252">
        <f t="shared" si="8"/>
        <v>0</v>
      </c>
      <c r="G193" s="647">
        <v>0</v>
      </c>
      <c r="H193" s="409"/>
      <c r="I193" s="345"/>
      <c r="J193" s="254"/>
      <c r="K193" s="328"/>
      <c r="L193" s="357"/>
      <c r="M193" s="235"/>
      <c r="N193" s="235"/>
      <c r="O193" s="390">
        <v>0</v>
      </c>
    </row>
    <row r="194" spans="1:15" s="126" customFormat="1" ht="21.95" customHeight="1" x14ac:dyDescent="0.15">
      <c r="A194" s="218"/>
      <c r="B194" s="230"/>
      <c r="C194" s="321" t="s">
        <v>274</v>
      </c>
      <c r="D194" s="231">
        <v>80150</v>
      </c>
      <c r="E194" s="232">
        <f>O194</f>
        <v>338662</v>
      </c>
      <c r="F194" s="252">
        <f t="shared" si="8"/>
        <v>258512</v>
      </c>
      <c r="G194" s="647">
        <v>0</v>
      </c>
      <c r="H194" s="648"/>
      <c r="I194" s="365"/>
      <c r="J194" s="366"/>
      <c r="K194" s="367"/>
      <c r="L194" s="649"/>
      <c r="M194" s="239"/>
      <c r="N194" s="239"/>
      <c r="O194" s="530">
        <f>SUM(O195:O197)</f>
        <v>338662</v>
      </c>
    </row>
    <row r="195" spans="1:15" s="126" customFormat="1" ht="21.95" customHeight="1" x14ac:dyDescent="0.15">
      <c r="A195" s="218"/>
      <c r="B195" s="230"/>
      <c r="C195" s="321"/>
      <c r="D195" s="231"/>
      <c r="E195" s="232"/>
      <c r="F195" s="232"/>
      <c r="G195" s="320"/>
      <c r="H195" s="364">
        <v>1</v>
      </c>
      <c r="I195" s="365" t="s">
        <v>210</v>
      </c>
      <c r="J195" s="366"/>
      <c r="K195" s="367"/>
      <c r="L195" s="649"/>
      <c r="M195" s="239"/>
      <c r="N195" s="239"/>
      <c r="O195" s="241">
        <v>60000</v>
      </c>
    </row>
    <row r="196" spans="1:15" s="126" customFormat="1" ht="21.95" customHeight="1" x14ac:dyDescent="0.15">
      <c r="A196" s="218"/>
      <c r="B196" s="230"/>
      <c r="C196" s="321"/>
      <c r="D196" s="231"/>
      <c r="E196" s="232"/>
      <c r="F196" s="232"/>
      <c r="G196" s="650"/>
      <c r="H196" s="562">
        <v>2</v>
      </c>
      <c r="I196" s="1066" t="s">
        <v>275</v>
      </c>
      <c r="J196" s="1066"/>
      <c r="K196" s="238"/>
      <c r="L196" s="369"/>
      <c r="M196" s="294"/>
      <c r="N196" s="294"/>
      <c r="O196" s="281">
        <v>20150</v>
      </c>
    </row>
    <row r="197" spans="1:15" s="126" customFormat="1" ht="21.95" customHeight="1" thickBot="1" x14ac:dyDescent="0.2">
      <c r="A197" s="506"/>
      <c r="B197" s="507"/>
      <c r="C197" s="322"/>
      <c r="D197" s="651"/>
      <c r="E197" s="652"/>
      <c r="F197" s="652"/>
      <c r="G197" s="653"/>
      <c r="H197" s="685">
        <v>3</v>
      </c>
      <c r="I197" s="1050" t="s">
        <v>419</v>
      </c>
      <c r="J197" s="1050"/>
      <c r="K197" s="1050"/>
      <c r="L197" s="1050"/>
      <c r="M197" s="1050"/>
      <c r="N197" s="1050"/>
      <c r="O197" s="686">
        <v>258512</v>
      </c>
    </row>
    <row r="198" spans="1:15" s="126" customFormat="1" ht="18" customHeight="1" x14ac:dyDescent="0.15">
      <c r="A198" s="127"/>
      <c r="B198" s="127"/>
      <c r="C198" s="127"/>
      <c r="D198" s="193"/>
      <c r="E198" s="193"/>
      <c r="F198" s="194"/>
      <c r="G198" s="181"/>
      <c r="H198" s="128"/>
      <c r="I198" s="129"/>
      <c r="J198" s="130"/>
      <c r="K198" s="130"/>
      <c r="L198" s="129"/>
      <c r="M198" s="127"/>
      <c r="N198" s="127"/>
      <c r="O198" s="127"/>
    </row>
    <row r="199" spans="1:15" s="126" customFormat="1" ht="18" customHeight="1" x14ac:dyDescent="0.15">
      <c r="A199" s="127"/>
      <c r="B199" s="127"/>
      <c r="C199" s="127"/>
      <c r="D199" s="193"/>
      <c r="E199" s="193"/>
      <c r="F199" s="194"/>
      <c r="G199" s="181"/>
      <c r="H199" s="128"/>
      <c r="I199" s="129"/>
      <c r="J199" s="130"/>
      <c r="K199" s="130"/>
      <c r="L199" s="129"/>
      <c r="M199" s="127"/>
      <c r="N199" s="127"/>
      <c r="O199" s="127"/>
    </row>
    <row r="200" spans="1:15" s="126" customFormat="1" ht="18" customHeight="1" x14ac:dyDescent="0.15">
      <c r="A200" s="127"/>
      <c r="B200" s="127"/>
      <c r="C200" s="127"/>
      <c r="D200" s="193"/>
      <c r="E200" s="193"/>
      <c r="F200" s="194"/>
      <c r="G200" s="181"/>
      <c r="H200" s="128"/>
      <c r="I200" s="129"/>
      <c r="J200" s="130"/>
      <c r="K200" s="130"/>
      <c r="L200" s="129"/>
      <c r="M200" s="127"/>
      <c r="N200" s="127"/>
      <c r="O200" s="127"/>
    </row>
    <row r="201" spans="1:15" s="126" customFormat="1" ht="18" customHeight="1" x14ac:dyDescent="0.15">
      <c r="A201" s="127"/>
      <c r="B201" s="127"/>
      <c r="C201" s="127"/>
      <c r="D201" s="193"/>
      <c r="E201" s="193"/>
      <c r="F201" s="194"/>
      <c r="G201" s="181"/>
      <c r="H201" s="128"/>
      <c r="I201" s="129"/>
      <c r="J201" s="130"/>
      <c r="K201" s="130"/>
      <c r="L201" s="129"/>
      <c r="M201" s="127"/>
      <c r="N201" s="127"/>
      <c r="O201" s="127"/>
    </row>
    <row r="202" spans="1:15" s="126" customFormat="1" ht="18" customHeight="1" x14ac:dyDescent="0.15">
      <c r="A202" s="127"/>
      <c r="B202" s="127"/>
      <c r="C202" s="127"/>
      <c r="D202" s="193"/>
      <c r="E202" s="193"/>
      <c r="F202" s="194"/>
      <c r="G202" s="181"/>
      <c r="H202" s="128"/>
      <c r="I202" s="129"/>
      <c r="J202" s="130"/>
      <c r="K202" s="130"/>
      <c r="L202" s="129"/>
      <c r="M202" s="127"/>
      <c r="N202" s="127"/>
      <c r="O202" s="127"/>
    </row>
    <row r="203" spans="1:15" s="126" customFormat="1" ht="18" customHeight="1" x14ac:dyDescent="0.15">
      <c r="A203" s="127"/>
      <c r="B203" s="127"/>
      <c r="C203" s="127"/>
      <c r="D203" s="193"/>
      <c r="E203" s="193"/>
      <c r="F203" s="194"/>
      <c r="G203" s="181"/>
      <c r="H203" s="128"/>
      <c r="I203" s="129"/>
      <c r="J203" s="130"/>
      <c r="K203" s="130"/>
      <c r="L203" s="129"/>
      <c r="M203" s="127"/>
      <c r="N203" s="127"/>
      <c r="O203" s="127"/>
    </row>
    <row r="204" spans="1:15" s="126" customFormat="1" ht="18" customHeight="1" x14ac:dyDescent="0.15">
      <c r="A204" s="127"/>
      <c r="B204" s="127"/>
      <c r="C204" s="127"/>
      <c r="D204" s="193"/>
      <c r="E204" s="193"/>
      <c r="F204" s="194"/>
      <c r="G204" s="181"/>
      <c r="H204" s="128"/>
      <c r="I204" s="129"/>
      <c r="J204" s="130"/>
      <c r="K204" s="130"/>
      <c r="L204" s="129"/>
      <c r="M204" s="127"/>
      <c r="N204" s="127"/>
      <c r="O204" s="127"/>
    </row>
    <row r="205" spans="1:15" s="126" customFormat="1" ht="18" customHeight="1" x14ac:dyDescent="0.15">
      <c r="A205" s="127"/>
      <c r="B205" s="127"/>
      <c r="C205" s="127"/>
      <c r="D205" s="193"/>
      <c r="E205" s="193"/>
      <c r="F205" s="194"/>
      <c r="G205" s="181"/>
      <c r="H205" s="128"/>
      <c r="I205" s="129"/>
      <c r="J205" s="130"/>
      <c r="K205" s="130"/>
      <c r="L205" s="129"/>
      <c r="M205" s="127"/>
      <c r="N205" s="127"/>
      <c r="O205" s="127"/>
    </row>
    <row r="206" spans="1:15" s="126" customFormat="1" ht="18" customHeight="1" x14ac:dyDescent="0.15">
      <c r="A206" s="127"/>
      <c r="B206" s="127"/>
      <c r="C206" s="127"/>
      <c r="D206" s="193"/>
      <c r="E206" s="193"/>
      <c r="F206" s="194"/>
      <c r="G206" s="181"/>
      <c r="H206" s="128"/>
      <c r="I206" s="129"/>
      <c r="J206" s="130"/>
      <c r="K206" s="130"/>
      <c r="L206" s="129"/>
      <c r="M206" s="127"/>
      <c r="N206" s="127"/>
      <c r="O206" s="127"/>
    </row>
    <row r="207" spans="1:15" s="126" customFormat="1" ht="18" customHeight="1" x14ac:dyDescent="0.15">
      <c r="A207" s="127"/>
      <c r="B207" s="127"/>
      <c r="C207" s="127"/>
      <c r="D207" s="193"/>
      <c r="E207" s="193"/>
      <c r="F207" s="194"/>
      <c r="G207" s="181"/>
      <c r="H207" s="128"/>
      <c r="I207" s="129"/>
      <c r="J207" s="130"/>
      <c r="K207" s="130"/>
      <c r="L207" s="129"/>
      <c r="M207" s="127"/>
      <c r="N207" s="127"/>
      <c r="O207" s="127"/>
    </row>
    <row r="208" spans="1:15" s="126" customFormat="1" ht="18" customHeight="1" x14ac:dyDescent="0.15">
      <c r="A208" s="127"/>
      <c r="B208" s="127"/>
      <c r="C208" s="127"/>
      <c r="D208" s="193"/>
      <c r="E208" s="193"/>
      <c r="F208" s="194"/>
      <c r="G208" s="181"/>
      <c r="H208" s="128"/>
      <c r="I208" s="129"/>
      <c r="J208" s="130"/>
      <c r="K208" s="130"/>
      <c r="L208" s="129"/>
      <c r="M208" s="127"/>
      <c r="N208" s="127"/>
      <c r="O208" s="127"/>
    </row>
    <row r="209" spans="1:15" s="126" customFormat="1" ht="18" customHeight="1" x14ac:dyDescent="0.15">
      <c r="A209" s="127"/>
      <c r="B209" s="127"/>
      <c r="C209" s="127"/>
      <c r="D209" s="193"/>
      <c r="E209" s="193"/>
      <c r="F209" s="194"/>
      <c r="G209" s="181"/>
      <c r="H209" s="128"/>
      <c r="I209" s="129"/>
      <c r="J209" s="130"/>
      <c r="K209" s="130"/>
      <c r="L209" s="129"/>
      <c r="M209" s="127"/>
      <c r="N209" s="127"/>
      <c r="O209" s="127"/>
    </row>
    <row r="210" spans="1:15" s="126" customFormat="1" ht="18" customHeight="1" x14ac:dyDescent="0.15">
      <c r="A210" s="127"/>
      <c r="B210" s="127"/>
      <c r="C210" s="127"/>
      <c r="D210" s="193"/>
      <c r="E210" s="193"/>
      <c r="F210" s="194"/>
      <c r="G210" s="181"/>
      <c r="H210" s="128"/>
      <c r="I210" s="129"/>
      <c r="J210" s="130"/>
      <c r="K210" s="130"/>
      <c r="L210" s="129"/>
      <c r="M210" s="127"/>
      <c r="N210" s="127"/>
      <c r="O210" s="127"/>
    </row>
    <row r="211" spans="1:15" s="126" customFormat="1" ht="18" customHeight="1" x14ac:dyDescent="0.15">
      <c r="A211" s="127"/>
      <c r="B211" s="127"/>
      <c r="C211" s="127"/>
      <c r="D211" s="193"/>
      <c r="E211" s="193"/>
      <c r="F211" s="194"/>
      <c r="G211" s="181"/>
      <c r="H211" s="128"/>
      <c r="I211" s="129"/>
      <c r="J211" s="130"/>
      <c r="K211" s="130"/>
      <c r="L211" s="129"/>
      <c r="M211" s="127"/>
      <c r="N211" s="127"/>
      <c r="O211" s="127"/>
    </row>
    <row r="212" spans="1:15" s="126" customFormat="1" ht="18" customHeight="1" x14ac:dyDescent="0.15">
      <c r="A212" s="127"/>
      <c r="B212" s="127"/>
      <c r="C212" s="127"/>
      <c r="D212" s="193"/>
      <c r="E212" s="193"/>
      <c r="F212" s="194"/>
      <c r="G212" s="181"/>
      <c r="H212" s="128"/>
      <c r="I212" s="129"/>
      <c r="J212" s="130"/>
      <c r="K212" s="130"/>
      <c r="L212" s="129"/>
      <c r="M212" s="127"/>
      <c r="N212" s="127"/>
      <c r="O212" s="127"/>
    </row>
    <row r="213" spans="1:15" s="126" customFormat="1" ht="18" customHeight="1" x14ac:dyDescent="0.15">
      <c r="A213" s="127"/>
      <c r="B213" s="127"/>
      <c r="C213" s="127"/>
      <c r="D213" s="193"/>
      <c r="E213" s="193"/>
      <c r="F213" s="194"/>
      <c r="G213" s="181"/>
      <c r="H213" s="128"/>
      <c r="I213" s="129"/>
      <c r="J213" s="130"/>
      <c r="K213" s="130"/>
      <c r="L213" s="129"/>
      <c r="M213" s="127"/>
      <c r="N213" s="127"/>
      <c r="O213" s="127"/>
    </row>
    <row r="214" spans="1:15" s="126" customFormat="1" ht="18" customHeight="1" x14ac:dyDescent="0.15">
      <c r="A214" s="127"/>
      <c r="B214" s="127"/>
      <c r="C214" s="127"/>
      <c r="D214" s="193"/>
      <c r="E214" s="193"/>
      <c r="F214" s="194"/>
      <c r="G214" s="181"/>
      <c r="H214" s="128"/>
      <c r="I214" s="129"/>
      <c r="J214" s="130"/>
      <c r="K214" s="130"/>
      <c r="L214" s="129"/>
      <c r="M214" s="127"/>
      <c r="N214" s="127"/>
      <c r="O214" s="127"/>
    </row>
    <row r="215" spans="1:15" s="126" customFormat="1" ht="18" customHeight="1" x14ac:dyDescent="0.15">
      <c r="A215" s="127"/>
      <c r="B215" s="127"/>
      <c r="C215" s="127"/>
      <c r="D215" s="193"/>
      <c r="E215" s="193"/>
      <c r="F215" s="194"/>
      <c r="G215" s="181"/>
      <c r="H215" s="128"/>
      <c r="I215" s="129"/>
      <c r="J215" s="130"/>
      <c r="K215" s="130"/>
      <c r="L215" s="129"/>
      <c r="M215" s="127"/>
      <c r="N215" s="127"/>
      <c r="O215" s="127"/>
    </row>
    <row r="216" spans="1:15" s="126" customFormat="1" ht="18" customHeight="1" x14ac:dyDescent="0.15">
      <c r="A216" s="127"/>
      <c r="B216" s="127"/>
      <c r="C216" s="127"/>
      <c r="D216" s="193"/>
      <c r="E216" s="193"/>
      <c r="F216" s="194"/>
      <c r="G216" s="181"/>
      <c r="H216" s="128"/>
      <c r="I216" s="129"/>
      <c r="J216" s="130"/>
      <c r="K216" s="130"/>
      <c r="L216" s="129"/>
      <c r="M216" s="127"/>
      <c r="N216" s="127"/>
      <c r="O216" s="127"/>
    </row>
    <row r="217" spans="1:15" s="126" customFormat="1" ht="18" customHeight="1" x14ac:dyDescent="0.15">
      <c r="A217" s="127"/>
      <c r="B217" s="127"/>
      <c r="C217" s="127"/>
      <c r="D217" s="193"/>
      <c r="E217" s="193"/>
      <c r="F217" s="194"/>
      <c r="G217" s="181"/>
      <c r="H217" s="128"/>
      <c r="I217" s="129"/>
      <c r="J217" s="130"/>
      <c r="K217" s="130"/>
      <c r="L217" s="129"/>
      <c r="M217" s="127"/>
      <c r="N217" s="127"/>
      <c r="O217" s="127"/>
    </row>
    <row r="218" spans="1:15" s="126" customFormat="1" ht="18" customHeight="1" x14ac:dyDescent="0.15">
      <c r="A218" s="127"/>
      <c r="B218" s="127"/>
      <c r="C218" s="127"/>
      <c r="D218" s="193"/>
      <c r="E218" s="193"/>
      <c r="F218" s="194"/>
      <c r="G218" s="181"/>
      <c r="H218" s="128"/>
      <c r="I218" s="129"/>
      <c r="J218" s="130"/>
      <c r="K218" s="130"/>
      <c r="L218" s="129"/>
      <c r="M218" s="127"/>
      <c r="N218" s="127"/>
      <c r="O218" s="127"/>
    </row>
    <row r="219" spans="1:15" s="126" customFormat="1" ht="18" customHeight="1" x14ac:dyDescent="0.15">
      <c r="A219" s="127"/>
      <c r="B219" s="127"/>
      <c r="C219" s="127"/>
      <c r="D219" s="193"/>
      <c r="E219" s="193"/>
      <c r="F219" s="194"/>
      <c r="G219" s="181"/>
      <c r="H219" s="128"/>
      <c r="I219" s="129"/>
      <c r="J219" s="130"/>
      <c r="K219" s="130"/>
      <c r="L219" s="129"/>
      <c r="M219" s="127"/>
      <c r="N219" s="127"/>
      <c r="O219" s="127"/>
    </row>
    <row r="220" spans="1:15" s="126" customFormat="1" ht="18" customHeight="1" x14ac:dyDescent="0.15">
      <c r="A220" s="127"/>
      <c r="B220" s="127"/>
      <c r="C220" s="127"/>
      <c r="D220" s="193"/>
      <c r="E220" s="193"/>
      <c r="F220" s="194"/>
      <c r="G220" s="181"/>
      <c r="H220" s="128"/>
      <c r="I220" s="129"/>
      <c r="J220" s="130"/>
      <c r="K220" s="130"/>
      <c r="L220" s="129"/>
      <c r="M220" s="127"/>
      <c r="N220" s="127"/>
      <c r="O220" s="127"/>
    </row>
  </sheetData>
  <mergeCells count="43">
    <mergeCell ref="I155:L155"/>
    <mergeCell ref="K89:M89"/>
    <mergeCell ref="K90:L90"/>
    <mergeCell ref="M91:N91"/>
    <mergeCell ref="K92:L92"/>
    <mergeCell ref="K93:L93"/>
    <mergeCell ref="I196:J196"/>
    <mergeCell ref="H2:O3"/>
    <mergeCell ref="C2:C3"/>
    <mergeCell ref="F2:G2"/>
    <mergeCell ref="A4:C4"/>
    <mergeCell ref="A5:C5"/>
    <mergeCell ref="A2:A3"/>
    <mergeCell ref="B2:B3"/>
    <mergeCell ref="D2:D3"/>
    <mergeCell ref="E2:E3"/>
    <mergeCell ref="B6:C6"/>
    <mergeCell ref="B76:C76"/>
    <mergeCell ref="B78:C78"/>
    <mergeCell ref="A106:C106"/>
    <mergeCell ref="K95:M95"/>
    <mergeCell ref="I95:J95"/>
    <mergeCell ref="B107:C107"/>
    <mergeCell ref="A117:C117"/>
    <mergeCell ref="B118:C118"/>
    <mergeCell ref="B136:C136"/>
    <mergeCell ref="J109:N109"/>
    <mergeCell ref="I197:N197"/>
    <mergeCell ref="I129:N129"/>
    <mergeCell ref="I135:N135"/>
    <mergeCell ref="J143:N143"/>
    <mergeCell ref="B185:C185"/>
    <mergeCell ref="A188:C188"/>
    <mergeCell ref="B189:C189"/>
    <mergeCell ref="I163:N163"/>
    <mergeCell ref="B148:C148"/>
    <mergeCell ref="I173:N173"/>
    <mergeCell ref="I158:N158"/>
    <mergeCell ref="I159:N159"/>
    <mergeCell ref="I160:N160"/>
    <mergeCell ref="I162:N162"/>
    <mergeCell ref="A191:C191"/>
    <mergeCell ref="B192:C192"/>
  </mergeCells>
  <phoneticPr fontId="28" type="noConversion"/>
  <printOptions horizontalCentered="1"/>
  <pageMargins left="0.78740157480314965" right="0.78740157480314965" top="1.1811023622047245" bottom="0.98425196850393704" header="0" footer="0"/>
  <pageSetup paperSize="9" scale="77" firstPageNumber="41" fitToHeight="0" orientation="landscape" useFirstPageNumber="1" r:id="rId1"/>
  <headerFooter scaleWithDoc="0" alignWithMargins="0">
    <oddFooter>&amp;C&amp;P</oddFooter>
  </headerFooter>
  <rowBreaks count="8" manualBreakCount="8">
    <brk id="24" max="14" man="1"/>
    <brk id="47" max="14" man="1"/>
    <brk id="69" max="14" man="1"/>
    <brk id="92" max="14" man="1"/>
    <brk id="115" max="14" man="1"/>
    <brk id="137" max="14" man="1"/>
    <brk id="160" max="14" man="1"/>
    <brk id="182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topLeftCell="A28" workbookViewId="0">
      <selection activeCell="J46" sqref="J46"/>
    </sheetView>
  </sheetViews>
  <sheetFormatPr defaultColWidth="8.88671875" defaultRowHeight="13.5" x14ac:dyDescent="0.15"/>
  <cols>
    <col min="1" max="2" width="3.33203125" customWidth="1"/>
    <col min="3" max="3" width="6.21875" customWidth="1"/>
    <col min="4" max="4" width="11.21875" customWidth="1"/>
    <col min="5" max="5" width="10.5546875" customWidth="1"/>
    <col min="9" max="9" width="10.88671875" customWidth="1"/>
  </cols>
  <sheetData>
    <row r="1" spans="1:24" s="74" customFormat="1" ht="21" customHeight="1" x14ac:dyDescent="0.15">
      <c r="A1" s="1108" t="s">
        <v>51</v>
      </c>
      <c r="B1" s="1110" t="s">
        <v>52</v>
      </c>
      <c r="C1" s="1112" t="s">
        <v>53</v>
      </c>
      <c r="D1" s="1101" t="s">
        <v>54</v>
      </c>
      <c r="E1" s="1114" t="s">
        <v>42</v>
      </c>
      <c r="F1" s="75"/>
      <c r="G1" s="1103" t="s">
        <v>35</v>
      </c>
      <c r="H1" s="1104"/>
      <c r="I1" s="1099" t="s">
        <v>38</v>
      </c>
      <c r="J1" s="1101" t="s">
        <v>55</v>
      </c>
      <c r="K1" s="1091" t="s">
        <v>56</v>
      </c>
      <c r="L1" s="1093" t="s">
        <v>46</v>
      </c>
      <c r="M1" s="1095" t="s">
        <v>47</v>
      </c>
      <c r="N1" s="1097" t="s">
        <v>48</v>
      </c>
      <c r="O1" s="1097" t="s">
        <v>57</v>
      </c>
      <c r="P1" s="1085" t="s">
        <v>58</v>
      </c>
      <c r="Q1" s="1085" t="s">
        <v>59</v>
      </c>
      <c r="R1" s="1085" t="s">
        <v>60</v>
      </c>
      <c r="S1" s="1087" t="s">
        <v>61</v>
      </c>
      <c r="T1" s="1089" t="s">
        <v>62</v>
      </c>
      <c r="U1" s="114"/>
      <c r="V1" s="114"/>
      <c r="W1" s="114"/>
    </row>
    <row r="2" spans="1:24" s="74" customFormat="1" ht="21" customHeight="1" x14ac:dyDescent="0.15">
      <c r="A2" s="1109"/>
      <c r="B2" s="1111"/>
      <c r="C2" s="1113"/>
      <c r="D2" s="1102"/>
      <c r="E2" s="1115"/>
      <c r="F2" s="76" t="s">
        <v>63</v>
      </c>
      <c r="G2" s="76" t="s">
        <v>64</v>
      </c>
      <c r="H2" s="76" t="s">
        <v>65</v>
      </c>
      <c r="I2" s="1100"/>
      <c r="J2" s="1102"/>
      <c r="K2" s="1092"/>
      <c r="L2" s="1094"/>
      <c r="M2" s="1096"/>
      <c r="N2" s="1098"/>
      <c r="O2" s="1098"/>
      <c r="P2" s="1086"/>
      <c r="Q2" s="1086"/>
      <c r="R2" s="1086"/>
      <c r="S2" s="1088"/>
      <c r="T2" s="1090"/>
    </row>
    <row r="3" spans="1:24" s="74" customFormat="1" ht="21" customHeight="1" x14ac:dyDescent="0.15">
      <c r="A3" s="1105" t="s">
        <v>38</v>
      </c>
      <c r="B3" s="1106"/>
      <c r="C3" s="1107"/>
      <c r="D3" s="77">
        <f>SUM(D4:D22)</f>
        <v>21090000</v>
      </c>
      <c r="E3" s="78">
        <f>SUM(E4:E22)</f>
        <v>253080000</v>
      </c>
      <c r="F3" s="78">
        <f>SUM(F4:F22)</f>
        <v>4100000</v>
      </c>
      <c r="G3" s="78">
        <f>SUM(G4:G22)</f>
        <v>3600000</v>
      </c>
      <c r="H3" s="78">
        <f>SUM(H4:H22)</f>
        <v>43200000</v>
      </c>
      <c r="I3" s="99">
        <f t="shared" ref="I3:I22" si="0">SUM(E3:H3)</f>
        <v>303980000</v>
      </c>
      <c r="J3" s="77">
        <f>SUM(J4:J22)</f>
        <v>43200000</v>
      </c>
      <c r="K3" s="102">
        <f t="shared" ref="K3:K22" si="1">I3-J3</f>
        <v>260780000</v>
      </c>
      <c r="L3" s="103">
        <f t="shared" ref="L3:Q3" si="2">SUM(L4:L22)</f>
        <v>30398000</v>
      </c>
      <c r="M3" s="104">
        <f t="shared" si="2"/>
        <v>11735100</v>
      </c>
      <c r="N3" s="105">
        <f t="shared" si="2"/>
        <v>6623810</v>
      </c>
      <c r="O3" s="105">
        <f t="shared" si="2"/>
        <v>316520</v>
      </c>
      <c r="P3" s="105">
        <f t="shared" si="2"/>
        <v>1825460</v>
      </c>
      <c r="Q3" s="105">
        <f t="shared" si="2"/>
        <v>12778220</v>
      </c>
      <c r="R3" s="115">
        <f t="shared" ref="R3:R22" si="3">SUM(L3:Q3)</f>
        <v>63677110</v>
      </c>
      <c r="S3" s="116">
        <f t="shared" ref="S3:S22" si="4">SUM(K3,L3)</f>
        <v>291178000</v>
      </c>
      <c r="T3" s="117">
        <f t="shared" ref="T3:T22" si="5">SUM(S3,R3)</f>
        <v>354855110</v>
      </c>
      <c r="U3" s="118" t="s">
        <v>66</v>
      </c>
      <c r="V3" s="119"/>
      <c r="W3" s="119">
        <v>10</v>
      </c>
    </row>
    <row r="4" spans="1:24" s="74" customFormat="1" ht="21" customHeight="1" x14ac:dyDescent="0.15">
      <c r="A4" s="79">
        <v>1</v>
      </c>
      <c r="B4" s="80" t="s">
        <v>40</v>
      </c>
      <c r="C4" s="81" t="s">
        <v>12</v>
      </c>
      <c r="D4" s="82">
        <v>2490000</v>
      </c>
      <c r="E4" s="83">
        <f t="shared" ref="E4:E22" si="6">D4*12</f>
        <v>29880000</v>
      </c>
      <c r="F4" s="84">
        <v>1800000</v>
      </c>
      <c r="G4" s="84">
        <v>200000</v>
      </c>
      <c r="H4" s="84">
        <v>2400000</v>
      </c>
      <c r="I4" s="100">
        <f t="shared" si="0"/>
        <v>34280000</v>
      </c>
      <c r="J4" s="85">
        <f t="shared" ref="J4:J22" si="7">H4</f>
        <v>2400000</v>
      </c>
      <c r="K4" s="106">
        <f t="shared" si="1"/>
        <v>31880000</v>
      </c>
      <c r="L4" s="107">
        <f t="shared" ref="L4:L22" si="8">SUM(E4:H4)/10</f>
        <v>3428000</v>
      </c>
      <c r="M4" s="108">
        <f t="shared" ref="M4:M22" si="9">((K4))*0.045</f>
        <v>1434600</v>
      </c>
      <c r="N4" s="83">
        <f t="shared" ref="N4:N22" si="10">ROUNDDOWN((I4-(H4))*2.54%,-1)</f>
        <v>809750</v>
      </c>
      <c r="O4" s="83">
        <f>ROUNDDOWN(N4*4.78%,-1)</f>
        <v>38700</v>
      </c>
      <c r="P4" s="83">
        <f t="shared" ref="P4:P22" si="11">ROUNDDOWN(K4*0.7%,-1)</f>
        <v>223160</v>
      </c>
      <c r="Q4" s="83">
        <f t="shared" ref="Q4:Q22" si="12">ROUNDDOWN(K4*4.9%,-1)</f>
        <v>1562120</v>
      </c>
      <c r="R4" s="84">
        <f t="shared" si="3"/>
        <v>7496330</v>
      </c>
      <c r="S4" s="120">
        <f t="shared" si="4"/>
        <v>35308000</v>
      </c>
      <c r="T4" s="121">
        <f t="shared" si="5"/>
        <v>42804330</v>
      </c>
      <c r="U4" s="119">
        <v>37954634</v>
      </c>
      <c r="V4" s="119">
        <f>I4-U4</f>
        <v>-3674634</v>
      </c>
      <c r="W4" s="119">
        <f t="shared" ref="W4:W10" si="13">U4-(U4*10%)</f>
        <v>34159170.600000001</v>
      </c>
      <c r="X4" s="122">
        <f>I4/U4</f>
        <v>0.90318352167485005</v>
      </c>
    </row>
    <row r="5" spans="1:24" s="74" customFormat="1" ht="21" customHeight="1" x14ac:dyDescent="0.15">
      <c r="A5" s="79">
        <v>2</v>
      </c>
      <c r="B5" s="80" t="s">
        <v>41</v>
      </c>
      <c r="C5" s="81" t="s">
        <v>10</v>
      </c>
      <c r="D5" s="82">
        <v>1800000</v>
      </c>
      <c r="E5" s="83">
        <f t="shared" si="6"/>
        <v>21600000</v>
      </c>
      <c r="F5" s="84">
        <v>1800000</v>
      </c>
      <c r="G5" s="84">
        <v>200000</v>
      </c>
      <c r="H5" s="84">
        <v>2400000</v>
      </c>
      <c r="I5" s="100">
        <f t="shared" si="0"/>
        <v>26000000</v>
      </c>
      <c r="J5" s="85">
        <f t="shared" si="7"/>
        <v>2400000</v>
      </c>
      <c r="K5" s="106">
        <f t="shared" si="1"/>
        <v>23600000</v>
      </c>
      <c r="L5" s="107">
        <f t="shared" si="8"/>
        <v>2600000</v>
      </c>
      <c r="M5" s="108">
        <f t="shared" si="9"/>
        <v>1062000</v>
      </c>
      <c r="N5" s="83">
        <f t="shared" si="10"/>
        <v>599440</v>
      </c>
      <c r="O5" s="83">
        <f>ROUNDDOWN(N5*4.78%,-1)</f>
        <v>28650</v>
      </c>
      <c r="P5" s="83">
        <f t="shared" si="11"/>
        <v>165200</v>
      </c>
      <c r="Q5" s="83">
        <f t="shared" si="12"/>
        <v>1156400</v>
      </c>
      <c r="R5" s="84">
        <f t="shared" si="3"/>
        <v>5611690</v>
      </c>
      <c r="S5" s="120">
        <f t="shared" si="4"/>
        <v>26200000</v>
      </c>
      <c r="T5" s="121">
        <f t="shared" si="5"/>
        <v>31811690</v>
      </c>
      <c r="U5" s="51">
        <v>24933354</v>
      </c>
      <c r="V5" s="119">
        <f>I5-U5</f>
        <v>1066646</v>
      </c>
      <c r="W5" s="119">
        <f t="shared" si="13"/>
        <v>22440018.600000001</v>
      </c>
      <c r="X5" s="122">
        <f>I5/U5</f>
        <v>1.0427798843268339</v>
      </c>
    </row>
    <row r="6" spans="1:24" s="74" customFormat="1" ht="21" customHeight="1" x14ac:dyDescent="0.15">
      <c r="A6" s="79">
        <v>3</v>
      </c>
      <c r="B6" s="80" t="s">
        <v>41</v>
      </c>
      <c r="C6" s="81" t="s">
        <v>67</v>
      </c>
      <c r="D6" s="85">
        <v>1900000</v>
      </c>
      <c r="E6" s="83">
        <f t="shared" si="6"/>
        <v>22800000</v>
      </c>
      <c r="F6" s="84"/>
      <c r="G6" s="84">
        <v>200000</v>
      </c>
      <c r="H6" s="84">
        <v>2400000</v>
      </c>
      <c r="I6" s="100">
        <f t="shared" si="0"/>
        <v>25400000</v>
      </c>
      <c r="J6" s="85">
        <f t="shared" si="7"/>
        <v>2400000</v>
      </c>
      <c r="K6" s="106">
        <f t="shared" si="1"/>
        <v>23000000</v>
      </c>
      <c r="L6" s="107">
        <f t="shared" si="8"/>
        <v>2540000</v>
      </c>
      <c r="M6" s="108">
        <f t="shared" si="9"/>
        <v>1035000</v>
      </c>
      <c r="N6" s="83">
        <f t="shared" si="10"/>
        <v>584200</v>
      </c>
      <c r="O6" s="83">
        <f t="shared" ref="O6:O22" si="14">ROUNDDOWN(N6*4.78%,-1)</f>
        <v>27920</v>
      </c>
      <c r="P6" s="83">
        <f t="shared" si="11"/>
        <v>161000</v>
      </c>
      <c r="Q6" s="83">
        <f t="shared" si="12"/>
        <v>1127000</v>
      </c>
      <c r="R6" s="84">
        <f t="shared" si="3"/>
        <v>5475120</v>
      </c>
      <c r="S6" s="120">
        <f t="shared" si="4"/>
        <v>25540000</v>
      </c>
      <c r="T6" s="121">
        <f t="shared" si="5"/>
        <v>31015120</v>
      </c>
      <c r="U6" s="119">
        <v>25533006</v>
      </c>
      <c r="V6" s="119">
        <f>I5-U6</f>
        <v>466994</v>
      </c>
      <c r="W6" s="119">
        <f t="shared" si="13"/>
        <v>22979705.399999999</v>
      </c>
      <c r="X6" s="122">
        <f>I5/U6</f>
        <v>1.0182898167180159</v>
      </c>
    </row>
    <row r="7" spans="1:24" s="74" customFormat="1" ht="21" customHeight="1" x14ac:dyDescent="0.15">
      <c r="A7" s="79">
        <v>4</v>
      </c>
      <c r="B7" s="80" t="s">
        <v>41</v>
      </c>
      <c r="C7" s="81" t="s">
        <v>68</v>
      </c>
      <c r="D7" s="82">
        <v>1300000</v>
      </c>
      <c r="E7" s="83">
        <f t="shared" si="6"/>
        <v>15600000</v>
      </c>
      <c r="F7" s="84">
        <v>0</v>
      </c>
      <c r="G7" s="84">
        <v>200000</v>
      </c>
      <c r="H7" s="84">
        <v>2400000</v>
      </c>
      <c r="I7" s="100">
        <f t="shared" si="0"/>
        <v>18200000</v>
      </c>
      <c r="J7" s="85">
        <f t="shared" si="7"/>
        <v>2400000</v>
      </c>
      <c r="K7" s="106">
        <f t="shared" si="1"/>
        <v>15800000</v>
      </c>
      <c r="L7" s="107">
        <f t="shared" si="8"/>
        <v>1820000</v>
      </c>
      <c r="M7" s="108">
        <f t="shared" si="9"/>
        <v>711000</v>
      </c>
      <c r="N7" s="83">
        <f t="shared" si="10"/>
        <v>401320</v>
      </c>
      <c r="O7" s="83">
        <f t="shared" si="14"/>
        <v>19180</v>
      </c>
      <c r="P7" s="83">
        <f t="shared" si="11"/>
        <v>110600</v>
      </c>
      <c r="Q7" s="83">
        <f t="shared" si="12"/>
        <v>774200</v>
      </c>
      <c r="R7" s="84">
        <f t="shared" si="3"/>
        <v>3836300</v>
      </c>
      <c r="S7" s="120">
        <f t="shared" si="4"/>
        <v>17620000</v>
      </c>
      <c r="T7" s="121">
        <f t="shared" si="5"/>
        <v>21456300</v>
      </c>
      <c r="U7" s="119">
        <v>25533006</v>
      </c>
      <c r="V7" s="119">
        <f>I7-U7</f>
        <v>-7333006</v>
      </c>
      <c r="W7" s="119">
        <f t="shared" si="13"/>
        <v>22979705.399999999</v>
      </c>
      <c r="X7" s="122">
        <f>I7/U7</f>
        <v>0.71280287170261114</v>
      </c>
    </row>
    <row r="8" spans="1:24" s="74" customFormat="1" ht="21" customHeight="1" x14ac:dyDescent="0.15">
      <c r="A8" s="79"/>
      <c r="B8" s="80"/>
      <c r="C8" s="81" t="s">
        <v>69</v>
      </c>
      <c r="D8" s="82">
        <v>1200000</v>
      </c>
      <c r="E8" s="83">
        <f t="shared" si="6"/>
        <v>14400000</v>
      </c>
      <c r="F8" s="84">
        <v>0</v>
      </c>
      <c r="G8" s="84">
        <v>200000</v>
      </c>
      <c r="H8" s="84">
        <v>2400000</v>
      </c>
      <c r="I8" s="100">
        <f t="shared" si="0"/>
        <v>17000000</v>
      </c>
      <c r="J8" s="85">
        <f t="shared" si="7"/>
        <v>2400000</v>
      </c>
      <c r="K8" s="106">
        <f t="shared" si="1"/>
        <v>14600000</v>
      </c>
      <c r="L8" s="107">
        <f t="shared" si="8"/>
        <v>1700000</v>
      </c>
      <c r="M8" s="108">
        <f t="shared" si="9"/>
        <v>657000</v>
      </c>
      <c r="N8" s="83">
        <f t="shared" si="10"/>
        <v>370840</v>
      </c>
      <c r="O8" s="83">
        <f t="shared" si="14"/>
        <v>17720</v>
      </c>
      <c r="P8" s="83">
        <f t="shared" si="11"/>
        <v>102200</v>
      </c>
      <c r="Q8" s="83">
        <f t="shared" si="12"/>
        <v>715400</v>
      </c>
      <c r="R8" s="84">
        <f t="shared" si="3"/>
        <v>3563160</v>
      </c>
      <c r="S8" s="120">
        <f t="shared" si="4"/>
        <v>16300000</v>
      </c>
      <c r="T8" s="121">
        <f t="shared" si="5"/>
        <v>19863160</v>
      </c>
      <c r="U8" s="119">
        <v>25533007</v>
      </c>
      <c r="V8" s="119">
        <f>I8-U8</f>
        <v>-8533007</v>
      </c>
      <c r="W8" s="119">
        <f t="shared" si="13"/>
        <v>22979706.300000001</v>
      </c>
      <c r="X8" s="122">
        <f>I8/U8</f>
        <v>0.66580485408553725</v>
      </c>
    </row>
    <row r="9" spans="1:24" s="74" customFormat="1" ht="21" customHeight="1" x14ac:dyDescent="0.15">
      <c r="A9" s="79">
        <v>5</v>
      </c>
      <c r="B9" s="80">
        <v>4</v>
      </c>
      <c r="C9" s="81" t="s">
        <v>70</v>
      </c>
      <c r="D9" s="85">
        <v>1200000</v>
      </c>
      <c r="E9" s="83">
        <f t="shared" si="6"/>
        <v>14400000</v>
      </c>
      <c r="F9" s="84">
        <v>0</v>
      </c>
      <c r="G9" s="84">
        <v>200000</v>
      </c>
      <c r="H9" s="84">
        <v>2400000</v>
      </c>
      <c r="I9" s="100">
        <f t="shared" si="0"/>
        <v>17000000</v>
      </c>
      <c r="J9" s="85">
        <f t="shared" si="7"/>
        <v>2400000</v>
      </c>
      <c r="K9" s="106">
        <f t="shared" si="1"/>
        <v>14600000</v>
      </c>
      <c r="L9" s="107">
        <f t="shared" si="8"/>
        <v>1700000</v>
      </c>
      <c r="M9" s="108">
        <f t="shared" si="9"/>
        <v>657000</v>
      </c>
      <c r="N9" s="83">
        <f t="shared" si="10"/>
        <v>370840</v>
      </c>
      <c r="O9" s="83">
        <f t="shared" si="14"/>
        <v>17720</v>
      </c>
      <c r="P9" s="83">
        <f t="shared" si="11"/>
        <v>102200</v>
      </c>
      <c r="Q9" s="83">
        <f t="shared" si="12"/>
        <v>715400</v>
      </c>
      <c r="R9" s="84">
        <f t="shared" si="3"/>
        <v>3563160</v>
      </c>
      <c r="S9" s="120">
        <f t="shared" si="4"/>
        <v>16300000</v>
      </c>
      <c r="T9" s="121">
        <f t="shared" si="5"/>
        <v>19863160</v>
      </c>
      <c r="U9" s="119">
        <v>22207351</v>
      </c>
      <c r="V9" s="119">
        <f>I9-U9</f>
        <v>-5207351</v>
      </c>
      <c r="W9" s="119">
        <f t="shared" si="13"/>
        <v>19986615.899999999</v>
      </c>
      <c r="X9" s="122">
        <f>I9/U9</f>
        <v>0.76551228464844812</v>
      </c>
    </row>
    <row r="10" spans="1:24" s="74" customFormat="1" ht="21" customHeight="1" x14ac:dyDescent="0.15">
      <c r="A10" s="79">
        <v>6</v>
      </c>
      <c r="B10" s="80">
        <v>4</v>
      </c>
      <c r="C10" s="81" t="s">
        <v>71</v>
      </c>
      <c r="D10" s="85">
        <v>1200000</v>
      </c>
      <c r="E10" s="83">
        <f t="shared" si="6"/>
        <v>14400000</v>
      </c>
      <c r="F10" s="84"/>
      <c r="G10" s="84">
        <v>200000</v>
      </c>
      <c r="H10" s="84">
        <v>2400000</v>
      </c>
      <c r="I10" s="100">
        <f t="shared" si="0"/>
        <v>17000000</v>
      </c>
      <c r="J10" s="85">
        <f t="shared" si="7"/>
        <v>2400000</v>
      </c>
      <c r="K10" s="106">
        <f t="shared" si="1"/>
        <v>14600000</v>
      </c>
      <c r="L10" s="107">
        <f t="shared" si="8"/>
        <v>1700000</v>
      </c>
      <c r="M10" s="108">
        <f t="shared" si="9"/>
        <v>657000</v>
      </c>
      <c r="N10" s="83">
        <f t="shared" si="10"/>
        <v>370840</v>
      </c>
      <c r="O10" s="83">
        <f t="shared" si="14"/>
        <v>17720</v>
      </c>
      <c r="P10" s="83">
        <f t="shared" si="11"/>
        <v>102200</v>
      </c>
      <c r="Q10" s="83">
        <f t="shared" si="12"/>
        <v>715400</v>
      </c>
      <c r="R10" s="84">
        <f t="shared" si="3"/>
        <v>3563160</v>
      </c>
      <c r="S10" s="120">
        <f t="shared" si="4"/>
        <v>16300000</v>
      </c>
      <c r="T10" s="121">
        <f t="shared" si="5"/>
        <v>19863160</v>
      </c>
      <c r="U10" s="119">
        <v>21581854</v>
      </c>
      <c r="V10" s="119">
        <f>I10-U10</f>
        <v>-4581854</v>
      </c>
      <c r="W10" s="119">
        <f t="shared" si="13"/>
        <v>19423668.600000001</v>
      </c>
      <c r="X10" s="122">
        <f>I10/U10</f>
        <v>0.78769877694474255</v>
      </c>
    </row>
    <row r="11" spans="1:24" s="74" customFormat="1" ht="21" customHeight="1" x14ac:dyDescent="0.15">
      <c r="A11" s="79">
        <v>7</v>
      </c>
      <c r="B11" s="80">
        <v>4</v>
      </c>
      <c r="C11" s="86" t="s">
        <v>72</v>
      </c>
      <c r="D11" s="87">
        <v>1000000</v>
      </c>
      <c r="E11" s="88">
        <f t="shared" si="6"/>
        <v>12000000</v>
      </c>
      <c r="F11" s="89">
        <v>500000</v>
      </c>
      <c r="G11" s="84">
        <v>200000</v>
      </c>
      <c r="H11" s="90">
        <v>2400000</v>
      </c>
      <c r="I11" s="100">
        <f t="shared" si="0"/>
        <v>15100000</v>
      </c>
      <c r="J11" s="85">
        <f t="shared" si="7"/>
        <v>2400000</v>
      </c>
      <c r="K11" s="106">
        <f t="shared" si="1"/>
        <v>12700000</v>
      </c>
      <c r="L11" s="107">
        <f t="shared" si="8"/>
        <v>1510000</v>
      </c>
      <c r="M11" s="108">
        <f t="shared" si="9"/>
        <v>571500</v>
      </c>
      <c r="N11" s="83">
        <f t="shared" si="10"/>
        <v>322580</v>
      </c>
      <c r="O11" s="83">
        <f t="shared" si="14"/>
        <v>15410</v>
      </c>
      <c r="P11" s="83">
        <f t="shared" si="11"/>
        <v>88900</v>
      </c>
      <c r="Q11" s="83">
        <f t="shared" si="12"/>
        <v>622300</v>
      </c>
      <c r="R11" s="84">
        <f t="shared" si="3"/>
        <v>3130690</v>
      </c>
      <c r="S11" s="120">
        <f t="shared" si="4"/>
        <v>14210000</v>
      </c>
      <c r="T11" s="121">
        <f t="shared" si="5"/>
        <v>17340690</v>
      </c>
      <c r="U11" s="119"/>
      <c r="V11" s="119"/>
      <c r="W11" s="119"/>
      <c r="X11" s="122"/>
    </row>
    <row r="12" spans="1:24" s="74" customFormat="1" ht="21" customHeight="1" x14ac:dyDescent="0.15">
      <c r="A12" s="79">
        <v>8</v>
      </c>
      <c r="B12" s="80">
        <v>4</v>
      </c>
      <c r="C12" s="86" t="s">
        <v>73</v>
      </c>
      <c r="D12" s="87">
        <v>900000</v>
      </c>
      <c r="E12" s="88">
        <f t="shared" si="6"/>
        <v>10800000</v>
      </c>
      <c r="F12" s="84">
        <v>0</v>
      </c>
      <c r="G12" s="84">
        <v>200000</v>
      </c>
      <c r="H12" s="90">
        <v>2400000</v>
      </c>
      <c r="I12" s="100">
        <f t="shared" si="0"/>
        <v>13400000</v>
      </c>
      <c r="J12" s="85">
        <f t="shared" si="7"/>
        <v>2400000</v>
      </c>
      <c r="K12" s="106">
        <f t="shared" si="1"/>
        <v>11000000</v>
      </c>
      <c r="L12" s="107">
        <f t="shared" si="8"/>
        <v>1340000</v>
      </c>
      <c r="M12" s="108">
        <f t="shared" si="9"/>
        <v>495000</v>
      </c>
      <c r="N12" s="83">
        <f t="shared" si="10"/>
        <v>279400</v>
      </c>
      <c r="O12" s="83">
        <f t="shared" si="14"/>
        <v>13350</v>
      </c>
      <c r="P12" s="83">
        <f t="shared" si="11"/>
        <v>77000</v>
      </c>
      <c r="Q12" s="83">
        <f t="shared" si="12"/>
        <v>539000</v>
      </c>
      <c r="R12" s="84">
        <f t="shared" si="3"/>
        <v>2743750</v>
      </c>
      <c r="S12" s="120">
        <f t="shared" si="4"/>
        <v>12340000</v>
      </c>
      <c r="T12" s="121">
        <f t="shared" si="5"/>
        <v>15083750</v>
      </c>
      <c r="U12" s="119"/>
      <c r="V12" s="119"/>
      <c r="W12" s="119"/>
      <c r="X12" s="122"/>
    </row>
    <row r="13" spans="1:24" s="74" customFormat="1" ht="21" customHeight="1" x14ac:dyDescent="0.15">
      <c r="A13" s="79">
        <v>9</v>
      </c>
      <c r="B13" s="80">
        <v>4</v>
      </c>
      <c r="C13" s="86" t="s">
        <v>74</v>
      </c>
      <c r="D13" s="87">
        <v>900000</v>
      </c>
      <c r="E13" s="88">
        <f t="shared" si="6"/>
        <v>10800000</v>
      </c>
      <c r="F13" s="84">
        <v>0</v>
      </c>
      <c r="G13" s="84">
        <v>200000</v>
      </c>
      <c r="H13" s="90">
        <v>2400000</v>
      </c>
      <c r="I13" s="100">
        <f t="shared" si="0"/>
        <v>13400000</v>
      </c>
      <c r="J13" s="85">
        <f t="shared" si="7"/>
        <v>2400000</v>
      </c>
      <c r="K13" s="106">
        <f t="shared" si="1"/>
        <v>11000000</v>
      </c>
      <c r="L13" s="107">
        <f t="shared" si="8"/>
        <v>1340000</v>
      </c>
      <c r="M13" s="108">
        <f t="shared" si="9"/>
        <v>495000</v>
      </c>
      <c r="N13" s="83">
        <f t="shared" si="10"/>
        <v>279400</v>
      </c>
      <c r="O13" s="83">
        <f t="shared" si="14"/>
        <v>13350</v>
      </c>
      <c r="P13" s="83">
        <f t="shared" si="11"/>
        <v>77000</v>
      </c>
      <c r="Q13" s="83">
        <f t="shared" si="12"/>
        <v>539000</v>
      </c>
      <c r="R13" s="84">
        <f t="shared" si="3"/>
        <v>2743750</v>
      </c>
      <c r="S13" s="120">
        <f t="shared" si="4"/>
        <v>12340000</v>
      </c>
      <c r="T13" s="121">
        <f t="shared" si="5"/>
        <v>15083750</v>
      </c>
      <c r="U13" s="119"/>
      <c r="V13" s="119"/>
      <c r="W13" s="119"/>
      <c r="X13" s="122"/>
    </row>
    <row r="14" spans="1:24" s="74" customFormat="1" ht="21" customHeight="1" x14ac:dyDescent="0.15">
      <c r="A14" s="79">
        <v>10</v>
      </c>
      <c r="B14" s="80">
        <v>4</v>
      </c>
      <c r="C14" s="86" t="s">
        <v>75</v>
      </c>
      <c r="D14" s="87">
        <v>900000</v>
      </c>
      <c r="E14" s="88">
        <f t="shared" si="6"/>
        <v>10800000</v>
      </c>
      <c r="F14" s="84">
        <v>0</v>
      </c>
      <c r="G14" s="84">
        <v>200000</v>
      </c>
      <c r="H14" s="90">
        <v>2400000</v>
      </c>
      <c r="I14" s="100">
        <f t="shared" si="0"/>
        <v>13400000</v>
      </c>
      <c r="J14" s="85">
        <f t="shared" si="7"/>
        <v>2400000</v>
      </c>
      <c r="K14" s="106">
        <f t="shared" si="1"/>
        <v>11000000</v>
      </c>
      <c r="L14" s="107">
        <f t="shared" si="8"/>
        <v>1340000</v>
      </c>
      <c r="M14" s="108">
        <f t="shared" si="9"/>
        <v>495000</v>
      </c>
      <c r="N14" s="83">
        <f t="shared" si="10"/>
        <v>279400</v>
      </c>
      <c r="O14" s="83">
        <f t="shared" si="14"/>
        <v>13350</v>
      </c>
      <c r="P14" s="83">
        <f t="shared" si="11"/>
        <v>77000</v>
      </c>
      <c r="Q14" s="83">
        <f t="shared" si="12"/>
        <v>539000</v>
      </c>
      <c r="R14" s="84">
        <f t="shared" si="3"/>
        <v>2743750</v>
      </c>
      <c r="S14" s="120">
        <f t="shared" si="4"/>
        <v>12340000</v>
      </c>
      <c r="T14" s="121">
        <f t="shared" si="5"/>
        <v>15083750</v>
      </c>
      <c r="U14" s="119"/>
      <c r="V14" s="119"/>
      <c r="W14" s="119"/>
      <c r="X14" s="122"/>
    </row>
    <row r="15" spans="1:24" s="74" customFormat="1" ht="21" customHeight="1" x14ac:dyDescent="0.15">
      <c r="A15" s="79">
        <v>11</v>
      </c>
      <c r="B15" s="80">
        <v>4</v>
      </c>
      <c r="C15" s="86" t="s">
        <v>76</v>
      </c>
      <c r="D15" s="87">
        <v>900000</v>
      </c>
      <c r="E15" s="88">
        <f t="shared" si="6"/>
        <v>10800000</v>
      </c>
      <c r="F15" s="84">
        <v>0</v>
      </c>
      <c r="G15" s="84">
        <v>200000</v>
      </c>
      <c r="H15" s="90">
        <v>2400000</v>
      </c>
      <c r="I15" s="100">
        <f t="shared" si="0"/>
        <v>13400000</v>
      </c>
      <c r="J15" s="85">
        <f t="shared" si="7"/>
        <v>2400000</v>
      </c>
      <c r="K15" s="106">
        <f t="shared" si="1"/>
        <v>11000000</v>
      </c>
      <c r="L15" s="107">
        <f t="shared" si="8"/>
        <v>1340000</v>
      </c>
      <c r="M15" s="108">
        <f t="shared" si="9"/>
        <v>495000</v>
      </c>
      <c r="N15" s="83">
        <f t="shared" si="10"/>
        <v>279400</v>
      </c>
      <c r="O15" s="83">
        <f t="shared" si="14"/>
        <v>13350</v>
      </c>
      <c r="P15" s="83">
        <f t="shared" si="11"/>
        <v>77000</v>
      </c>
      <c r="Q15" s="83">
        <f t="shared" si="12"/>
        <v>539000</v>
      </c>
      <c r="R15" s="84">
        <f t="shared" si="3"/>
        <v>2743750</v>
      </c>
      <c r="S15" s="120">
        <f t="shared" si="4"/>
        <v>12340000</v>
      </c>
      <c r="T15" s="121">
        <f t="shared" si="5"/>
        <v>15083750</v>
      </c>
      <c r="U15" s="119"/>
      <c r="V15" s="119"/>
      <c r="W15" s="119"/>
      <c r="X15" s="122"/>
    </row>
    <row r="16" spans="1:24" s="74" customFormat="1" ht="21" customHeight="1" x14ac:dyDescent="0.15">
      <c r="A16" s="79">
        <v>12</v>
      </c>
      <c r="B16" s="80">
        <v>4</v>
      </c>
      <c r="C16" s="86" t="s">
        <v>77</v>
      </c>
      <c r="D16" s="87">
        <v>900000</v>
      </c>
      <c r="E16" s="88">
        <f t="shared" si="6"/>
        <v>10800000</v>
      </c>
      <c r="F16" s="84">
        <v>0</v>
      </c>
      <c r="G16" s="84">
        <v>200000</v>
      </c>
      <c r="H16" s="90">
        <v>2400000</v>
      </c>
      <c r="I16" s="100">
        <f t="shared" si="0"/>
        <v>13400000</v>
      </c>
      <c r="J16" s="85">
        <f t="shared" si="7"/>
        <v>2400000</v>
      </c>
      <c r="K16" s="106">
        <f t="shared" si="1"/>
        <v>11000000</v>
      </c>
      <c r="L16" s="107">
        <f t="shared" si="8"/>
        <v>1340000</v>
      </c>
      <c r="M16" s="108">
        <f t="shared" si="9"/>
        <v>495000</v>
      </c>
      <c r="N16" s="83">
        <f t="shared" si="10"/>
        <v>279400</v>
      </c>
      <c r="O16" s="83">
        <f t="shared" si="14"/>
        <v>13350</v>
      </c>
      <c r="P16" s="83">
        <f t="shared" si="11"/>
        <v>77000</v>
      </c>
      <c r="Q16" s="83">
        <f t="shared" si="12"/>
        <v>539000</v>
      </c>
      <c r="R16" s="84">
        <f t="shared" si="3"/>
        <v>2743750</v>
      </c>
      <c r="S16" s="120">
        <f t="shared" si="4"/>
        <v>12340000</v>
      </c>
      <c r="T16" s="121">
        <f t="shared" si="5"/>
        <v>15083750</v>
      </c>
      <c r="U16" s="119"/>
      <c r="V16" s="119"/>
      <c r="W16" s="119"/>
      <c r="X16" s="122"/>
    </row>
    <row r="17" spans="1:24" s="74" customFormat="1" ht="21" customHeight="1" x14ac:dyDescent="0.15">
      <c r="A17" s="79">
        <v>12</v>
      </c>
      <c r="B17" s="80">
        <v>4</v>
      </c>
      <c r="C17" s="86" t="s">
        <v>78</v>
      </c>
      <c r="D17" s="87">
        <v>900000</v>
      </c>
      <c r="E17" s="88">
        <f t="shared" si="6"/>
        <v>10800000</v>
      </c>
      <c r="F17" s="84">
        <v>0</v>
      </c>
      <c r="G17" s="84">
        <v>200000</v>
      </c>
      <c r="H17" s="90">
        <v>2400000</v>
      </c>
      <c r="I17" s="100">
        <f t="shared" si="0"/>
        <v>13400000</v>
      </c>
      <c r="J17" s="85">
        <f t="shared" si="7"/>
        <v>2400000</v>
      </c>
      <c r="K17" s="106">
        <f t="shared" si="1"/>
        <v>11000000</v>
      </c>
      <c r="L17" s="107">
        <f t="shared" si="8"/>
        <v>1340000</v>
      </c>
      <c r="M17" s="108">
        <f t="shared" si="9"/>
        <v>495000</v>
      </c>
      <c r="N17" s="83">
        <f t="shared" si="10"/>
        <v>279400</v>
      </c>
      <c r="O17" s="83">
        <f t="shared" si="14"/>
        <v>13350</v>
      </c>
      <c r="P17" s="83">
        <f t="shared" si="11"/>
        <v>77000</v>
      </c>
      <c r="Q17" s="83">
        <f t="shared" si="12"/>
        <v>539000</v>
      </c>
      <c r="R17" s="84">
        <f t="shared" si="3"/>
        <v>2743750</v>
      </c>
      <c r="S17" s="120">
        <f t="shared" si="4"/>
        <v>12340000</v>
      </c>
      <c r="T17" s="121">
        <f t="shared" si="5"/>
        <v>15083750</v>
      </c>
      <c r="U17" s="119"/>
      <c r="V17" s="119"/>
      <c r="W17" s="119"/>
      <c r="X17" s="122"/>
    </row>
    <row r="18" spans="1:24" s="74" customFormat="1" ht="21" customHeight="1" x14ac:dyDescent="0.15">
      <c r="A18" s="79">
        <v>13</v>
      </c>
      <c r="B18" s="80">
        <v>4</v>
      </c>
      <c r="C18" s="86" t="s">
        <v>79</v>
      </c>
      <c r="D18" s="87">
        <v>900000</v>
      </c>
      <c r="E18" s="88">
        <f t="shared" si="6"/>
        <v>10800000</v>
      </c>
      <c r="F18" s="84">
        <v>0</v>
      </c>
      <c r="G18" s="84">
        <v>200000</v>
      </c>
      <c r="H18" s="90">
        <v>2400000</v>
      </c>
      <c r="I18" s="100">
        <f t="shared" si="0"/>
        <v>13400000</v>
      </c>
      <c r="J18" s="85">
        <f t="shared" si="7"/>
        <v>2400000</v>
      </c>
      <c r="K18" s="106">
        <f t="shared" si="1"/>
        <v>11000000</v>
      </c>
      <c r="L18" s="107">
        <f t="shared" si="8"/>
        <v>1340000</v>
      </c>
      <c r="M18" s="108">
        <f t="shared" si="9"/>
        <v>495000</v>
      </c>
      <c r="N18" s="83">
        <f t="shared" si="10"/>
        <v>279400</v>
      </c>
      <c r="O18" s="83">
        <f t="shared" si="14"/>
        <v>13350</v>
      </c>
      <c r="P18" s="83">
        <f t="shared" si="11"/>
        <v>77000</v>
      </c>
      <c r="Q18" s="83">
        <f t="shared" si="12"/>
        <v>539000</v>
      </c>
      <c r="R18" s="84">
        <f t="shared" si="3"/>
        <v>2743750</v>
      </c>
      <c r="S18" s="120">
        <f t="shared" si="4"/>
        <v>12340000</v>
      </c>
      <c r="T18" s="121">
        <f t="shared" si="5"/>
        <v>15083750</v>
      </c>
      <c r="U18" s="119"/>
      <c r="V18" s="119"/>
      <c r="W18" s="119"/>
      <c r="X18" s="122"/>
    </row>
    <row r="19" spans="1:24" s="74" customFormat="1" ht="21" customHeight="1" x14ac:dyDescent="0.15">
      <c r="A19" s="79">
        <v>14</v>
      </c>
      <c r="B19" s="80">
        <v>4</v>
      </c>
      <c r="C19" s="86" t="s">
        <v>80</v>
      </c>
      <c r="D19" s="87">
        <v>900000</v>
      </c>
      <c r="E19" s="88">
        <f t="shared" si="6"/>
        <v>10800000</v>
      </c>
      <c r="F19" s="84">
        <v>0</v>
      </c>
      <c r="G19" s="84">
        <v>200000</v>
      </c>
      <c r="H19" s="90">
        <v>2400000</v>
      </c>
      <c r="I19" s="100">
        <f t="shared" si="0"/>
        <v>13400000</v>
      </c>
      <c r="J19" s="85">
        <f t="shared" si="7"/>
        <v>2400000</v>
      </c>
      <c r="K19" s="106">
        <f t="shared" si="1"/>
        <v>11000000</v>
      </c>
      <c r="L19" s="107">
        <f t="shared" si="8"/>
        <v>1340000</v>
      </c>
      <c r="M19" s="108">
        <f t="shared" si="9"/>
        <v>495000</v>
      </c>
      <c r="N19" s="83">
        <f t="shared" si="10"/>
        <v>279400</v>
      </c>
      <c r="O19" s="83">
        <f t="shared" si="14"/>
        <v>13350</v>
      </c>
      <c r="P19" s="83">
        <f t="shared" si="11"/>
        <v>77000</v>
      </c>
      <c r="Q19" s="83">
        <f t="shared" si="12"/>
        <v>539000</v>
      </c>
      <c r="R19" s="84">
        <f t="shared" si="3"/>
        <v>2743750</v>
      </c>
      <c r="S19" s="120">
        <f t="shared" si="4"/>
        <v>12340000</v>
      </c>
      <c r="T19" s="121">
        <f t="shared" si="5"/>
        <v>15083750</v>
      </c>
      <c r="U19" s="119"/>
      <c r="V19" s="119"/>
      <c r="W19" s="119"/>
      <c r="X19" s="122"/>
    </row>
    <row r="20" spans="1:24" s="74" customFormat="1" ht="21" customHeight="1" x14ac:dyDescent="0.15">
      <c r="A20" s="79">
        <v>15</v>
      </c>
      <c r="B20" s="80" t="s">
        <v>81</v>
      </c>
      <c r="C20" s="81" t="s">
        <v>82</v>
      </c>
      <c r="D20" s="87">
        <v>900000</v>
      </c>
      <c r="E20" s="83">
        <f t="shared" si="6"/>
        <v>10800000</v>
      </c>
      <c r="F20" s="84">
        <v>0</v>
      </c>
      <c r="G20" s="84">
        <v>200000</v>
      </c>
      <c r="H20" s="84">
        <v>2400000</v>
      </c>
      <c r="I20" s="100">
        <f t="shared" si="0"/>
        <v>13400000</v>
      </c>
      <c r="J20" s="85">
        <f t="shared" si="7"/>
        <v>2400000</v>
      </c>
      <c r="K20" s="106">
        <f t="shared" si="1"/>
        <v>11000000</v>
      </c>
      <c r="L20" s="107">
        <f t="shared" si="8"/>
        <v>1340000</v>
      </c>
      <c r="M20" s="108">
        <f t="shared" si="9"/>
        <v>495000</v>
      </c>
      <c r="N20" s="83">
        <f t="shared" si="10"/>
        <v>279400</v>
      </c>
      <c r="O20" s="83">
        <f t="shared" si="14"/>
        <v>13350</v>
      </c>
      <c r="P20" s="83">
        <f t="shared" si="11"/>
        <v>77000</v>
      </c>
      <c r="Q20" s="83">
        <f t="shared" si="12"/>
        <v>539000</v>
      </c>
      <c r="R20" s="84">
        <f t="shared" si="3"/>
        <v>2743750</v>
      </c>
      <c r="S20" s="120">
        <f t="shared" si="4"/>
        <v>12340000</v>
      </c>
      <c r="T20" s="121">
        <f t="shared" si="5"/>
        <v>15083750</v>
      </c>
      <c r="U20" s="119">
        <v>19126098</v>
      </c>
      <c r="V20" s="119">
        <f>I20-U20</f>
        <v>-5726098</v>
      </c>
      <c r="W20" s="119">
        <f>U20-(U20*10%)</f>
        <v>17213488.199999999</v>
      </c>
      <c r="X20" s="122">
        <f>I20/U20</f>
        <v>0.7006133713212177</v>
      </c>
    </row>
    <row r="21" spans="1:24" s="74" customFormat="1" ht="21" customHeight="1" x14ac:dyDescent="0.15">
      <c r="A21" s="79">
        <v>16</v>
      </c>
      <c r="B21" s="80" t="s">
        <v>81</v>
      </c>
      <c r="C21" s="81" t="s">
        <v>83</v>
      </c>
      <c r="D21" s="87">
        <v>900000</v>
      </c>
      <c r="E21" s="83">
        <f t="shared" si="6"/>
        <v>10800000</v>
      </c>
      <c r="F21" s="84">
        <v>0</v>
      </c>
      <c r="G21" s="84">
        <v>200000</v>
      </c>
      <c r="H21" s="84">
        <v>2400000</v>
      </c>
      <c r="I21" s="100">
        <f t="shared" si="0"/>
        <v>13400000</v>
      </c>
      <c r="J21" s="85">
        <f t="shared" si="7"/>
        <v>2400000</v>
      </c>
      <c r="K21" s="106">
        <f t="shared" si="1"/>
        <v>11000000</v>
      </c>
      <c r="L21" s="107">
        <f t="shared" si="8"/>
        <v>1340000</v>
      </c>
      <c r="M21" s="108">
        <f t="shared" si="9"/>
        <v>495000</v>
      </c>
      <c r="N21" s="83">
        <f t="shared" si="10"/>
        <v>279400</v>
      </c>
      <c r="O21" s="83">
        <f t="shared" si="14"/>
        <v>13350</v>
      </c>
      <c r="P21" s="83">
        <f t="shared" si="11"/>
        <v>77000</v>
      </c>
      <c r="Q21" s="83">
        <f t="shared" si="12"/>
        <v>539000</v>
      </c>
      <c r="R21" s="84">
        <f t="shared" si="3"/>
        <v>2743750</v>
      </c>
      <c r="S21" s="120">
        <f t="shared" si="4"/>
        <v>12340000</v>
      </c>
      <c r="T21" s="121">
        <f t="shared" si="5"/>
        <v>15083750</v>
      </c>
      <c r="U21" s="119">
        <v>19126098</v>
      </c>
      <c r="V21" s="119">
        <f>I21-U21</f>
        <v>-5726098</v>
      </c>
      <c r="W21" s="119">
        <f>U21-(U21*10%)</f>
        <v>17213488.199999999</v>
      </c>
      <c r="X21" s="122">
        <f>I21/U21</f>
        <v>0.7006133713212177</v>
      </c>
    </row>
    <row r="22" spans="1:24" s="74" customFormat="1" ht="21" customHeight="1" x14ac:dyDescent="0.15">
      <c r="A22" s="79">
        <v>17</v>
      </c>
      <c r="B22" s="91" t="s">
        <v>81</v>
      </c>
      <c r="C22" s="92" t="s">
        <v>84</v>
      </c>
      <c r="D22" s="93"/>
      <c r="E22" s="94">
        <f t="shared" si="6"/>
        <v>0</v>
      </c>
      <c r="F22" s="95"/>
      <c r="G22" s="95"/>
      <c r="H22" s="96"/>
      <c r="I22" s="109">
        <f t="shared" si="0"/>
        <v>0</v>
      </c>
      <c r="J22" s="93">
        <f t="shared" si="7"/>
        <v>0</v>
      </c>
      <c r="K22" s="110">
        <f t="shared" si="1"/>
        <v>0</v>
      </c>
      <c r="L22" s="107">
        <f t="shared" si="8"/>
        <v>0</v>
      </c>
      <c r="M22" s="93">
        <f t="shared" si="9"/>
        <v>0</v>
      </c>
      <c r="N22" s="94">
        <f t="shared" si="10"/>
        <v>0</v>
      </c>
      <c r="O22" s="94">
        <f t="shared" si="14"/>
        <v>0</v>
      </c>
      <c r="P22" s="94">
        <f t="shared" si="11"/>
        <v>0</v>
      </c>
      <c r="Q22" s="94">
        <f t="shared" si="12"/>
        <v>0</v>
      </c>
      <c r="R22" s="95">
        <f t="shared" si="3"/>
        <v>0</v>
      </c>
      <c r="S22" s="123">
        <f t="shared" si="4"/>
        <v>0</v>
      </c>
      <c r="T22" s="124">
        <f t="shared" si="5"/>
        <v>0</v>
      </c>
      <c r="U22" s="119"/>
      <c r="V22" s="119">
        <f>SUM(V4:V20)</f>
        <v>-33522310</v>
      </c>
      <c r="W22" s="119"/>
    </row>
    <row r="24" spans="1:24" x14ac:dyDescent="0.15">
      <c r="D24" s="97">
        <v>2010</v>
      </c>
      <c r="E24" s="97" t="s">
        <v>85</v>
      </c>
      <c r="F24" s="97"/>
      <c r="G24" s="97"/>
      <c r="H24" s="97"/>
      <c r="I24" s="111">
        <f>T3/12</f>
        <v>29571259.166666668</v>
      </c>
    </row>
    <row r="25" spans="1:24" x14ac:dyDescent="0.15">
      <c r="D25" s="97"/>
      <c r="E25" s="97"/>
      <c r="F25" s="97"/>
      <c r="G25" s="97"/>
      <c r="H25" s="97"/>
      <c r="I25" s="97"/>
    </row>
    <row r="26" spans="1:24" x14ac:dyDescent="0.15">
      <c r="D26" s="98">
        <v>45290</v>
      </c>
      <c r="E26" s="97">
        <v>1</v>
      </c>
      <c r="F26" s="97"/>
      <c r="G26" s="97">
        <v>30</v>
      </c>
      <c r="H26" s="97">
        <v>20</v>
      </c>
      <c r="I26" s="112">
        <f>D26*E26*G26*H26</f>
        <v>27174000</v>
      </c>
    </row>
    <row r="27" spans="1:24" x14ac:dyDescent="0.15">
      <c r="D27" s="98">
        <v>1500000</v>
      </c>
      <c r="E27" s="97"/>
      <c r="F27" s="97"/>
      <c r="G27" s="97"/>
      <c r="H27" s="97">
        <v>20</v>
      </c>
      <c r="I27" s="112">
        <f>D27*H27</f>
        <v>30000000</v>
      </c>
    </row>
    <row r="28" spans="1:24" x14ac:dyDescent="0.15">
      <c r="D28" s="97"/>
      <c r="E28" s="97"/>
      <c r="F28" s="97"/>
      <c r="G28" s="97"/>
      <c r="H28" s="97"/>
      <c r="I28" s="113">
        <f>I27-I24</f>
        <v>428740.83333333209</v>
      </c>
    </row>
    <row r="29" spans="1:24" x14ac:dyDescent="0.15">
      <c r="D29" s="97"/>
      <c r="E29" s="97"/>
      <c r="F29" s="97"/>
      <c r="G29" s="97"/>
      <c r="H29" s="97"/>
      <c r="I29" s="113">
        <f>I26-I24</f>
        <v>-2397259.1666666679</v>
      </c>
    </row>
    <row r="32" spans="1:24" s="74" customFormat="1" ht="15" customHeight="1" x14ac:dyDescent="0.15">
      <c r="A32" s="1108" t="s">
        <v>51</v>
      </c>
      <c r="B32" s="1110" t="s">
        <v>52</v>
      </c>
      <c r="C32" s="1112" t="s">
        <v>53</v>
      </c>
      <c r="D32" s="1101" t="s">
        <v>54</v>
      </c>
      <c r="E32" s="1103" t="s">
        <v>35</v>
      </c>
      <c r="F32" s="1104"/>
      <c r="G32" s="1099" t="s">
        <v>38</v>
      </c>
    </row>
    <row r="33" spans="1:8" s="74" customFormat="1" ht="15" customHeight="1" x14ac:dyDescent="0.15">
      <c r="A33" s="1109"/>
      <c r="B33" s="1111"/>
      <c r="C33" s="1113"/>
      <c r="D33" s="1102"/>
      <c r="E33" s="76" t="s">
        <v>64</v>
      </c>
      <c r="F33" s="76" t="s">
        <v>65</v>
      </c>
      <c r="G33" s="1100"/>
      <c r="H33" s="74" t="s">
        <v>86</v>
      </c>
    </row>
    <row r="34" spans="1:8" s="74" customFormat="1" ht="15" customHeight="1" x14ac:dyDescent="0.15">
      <c r="A34" s="1105" t="s">
        <v>38</v>
      </c>
      <c r="B34" s="1106"/>
      <c r="C34" s="1107"/>
      <c r="D34" s="77">
        <f>SUM(D35:D51)</f>
        <v>18790000</v>
      </c>
      <c r="E34" s="78">
        <f>SUM(E35:E51)</f>
        <v>2400000</v>
      </c>
      <c r="F34" s="78">
        <f>SUM(F35:F51)</f>
        <v>0</v>
      </c>
      <c r="G34" s="99">
        <f t="shared" ref="G34:G51" si="15">SUM(E34:F34)</f>
        <v>2400000</v>
      </c>
      <c r="H34" s="51">
        <f>SUM(H35:H51)</f>
        <v>3400000</v>
      </c>
    </row>
    <row r="35" spans="1:8" s="74" customFormat="1" ht="15" customHeight="1" x14ac:dyDescent="0.15">
      <c r="A35" s="79">
        <v>1</v>
      </c>
      <c r="B35" s="80" t="s">
        <v>40</v>
      </c>
      <c r="C35" s="81" t="s">
        <v>12</v>
      </c>
      <c r="D35" s="82">
        <v>2490000</v>
      </c>
      <c r="E35" s="84">
        <f>(ROUNDUP(D35*10%,-5))</f>
        <v>300000</v>
      </c>
      <c r="F35" s="84"/>
      <c r="G35" s="100">
        <f t="shared" si="15"/>
        <v>300000</v>
      </c>
      <c r="H35" s="51">
        <v>200000</v>
      </c>
    </row>
    <row r="36" spans="1:8" s="74" customFormat="1" ht="15" customHeight="1" x14ac:dyDescent="0.15">
      <c r="A36" s="79">
        <v>2</v>
      </c>
      <c r="B36" s="80" t="s">
        <v>41</v>
      </c>
      <c r="C36" s="81" t="s">
        <v>10</v>
      </c>
      <c r="D36" s="82">
        <v>1800000</v>
      </c>
      <c r="E36" s="84">
        <f t="shared" ref="E36:E51" si="16">(ROUNDUP(D36*10%,-5))</f>
        <v>200000</v>
      </c>
      <c r="F36" s="84"/>
      <c r="G36" s="100">
        <f t="shared" si="15"/>
        <v>200000</v>
      </c>
      <c r="H36" s="51">
        <v>200000</v>
      </c>
    </row>
    <row r="37" spans="1:8" s="74" customFormat="1" ht="15" customHeight="1" x14ac:dyDescent="0.15">
      <c r="A37" s="79">
        <v>3</v>
      </c>
      <c r="B37" s="80" t="s">
        <v>41</v>
      </c>
      <c r="C37" s="81" t="s">
        <v>67</v>
      </c>
      <c r="D37" s="85">
        <v>1900000</v>
      </c>
      <c r="E37" s="84">
        <f t="shared" si="16"/>
        <v>200000</v>
      </c>
      <c r="F37" s="84"/>
      <c r="G37" s="100">
        <f t="shared" si="15"/>
        <v>200000</v>
      </c>
      <c r="H37" s="51">
        <v>200000</v>
      </c>
    </row>
    <row r="38" spans="1:8" s="74" customFormat="1" ht="15" customHeight="1" x14ac:dyDescent="0.15">
      <c r="A38" s="79">
        <v>4</v>
      </c>
      <c r="B38" s="80" t="s">
        <v>41</v>
      </c>
      <c r="C38" s="81" t="s">
        <v>68</v>
      </c>
      <c r="D38" s="82">
        <v>1300000</v>
      </c>
      <c r="E38" s="84">
        <f t="shared" si="16"/>
        <v>200000</v>
      </c>
      <c r="F38" s="84"/>
      <c r="G38" s="100">
        <f t="shared" si="15"/>
        <v>200000</v>
      </c>
      <c r="H38" s="51">
        <v>200000</v>
      </c>
    </row>
    <row r="39" spans="1:8" s="74" customFormat="1" ht="15" customHeight="1" x14ac:dyDescent="0.15">
      <c r="A39" s="79">
        <v>5</v>
      </c>
      <c r="B39" s="80">
        <v>4</v>
      </c>
      <c r="C39" s="81" t="s">
        <v>70</v>
      </c>
      <c r="D39" s="85">
        <v>1200000</v>
      </c>
      <c r="E39" s="84">
        <f t="shared" si="16"/>
        <v>200000</v>
      </c>
      <c r="F39" s="84"/>
      <c r="G39" s="100">
        <f t="shared" si="15"/>
        <v>200000</v>
      </c>
      <c r="H39" s="51">
        <v>200000</v>
      </c>
    </row>
    <row r="40" spans="1:8" s="74" customFormat="1" ht="15" customHeight="1" x14ac:dyDescent="0.15">
      <c r="A40" s="79">
        <v>6</v>
      </c>
      <c r="B40" s="80">
        <v>4</v>
      </c>
      <c r="C40" s="81" t="s">
        <v>71</v>
      </c>
      <c r="D40" s="85">
        <v>1200000</v>
      </c>
      <c r="E40" s="84">
        <f t="shared" si="16"/>
        <v>200000</v>
      </c>
      <c r="F40" s="84"/>
      <c r="G40" s="100">
        <f t="shared" si="15"/>
        <v>200000</v>
      </c>
      <c r="H40" s="51">
        <v>200000</v>
      </c>
    </row>
    <row r="41" spans="1:8" s="74" customFormat="1" ht="15" customHeight="1" x14ac:dyDescent="0.15">
      <c r="A41" s="79">
        <v>7</v>
      </c>
      <c r="B41" s="80">
        <v>4</v>
      </c>
      <c r="C41" s="86" t="s">
        <v>72</v>
      </c>
      <c r="D41" s="87">
        <v>900000</v>
      </c>
      <c r="E41" s="84">
        <f t="shared" si="16"/>
        <v>100000</v>
      </c>
      <c r="F41" s="90"/>
      <c r="G41" s="100">
        <f t="shared" si="15"/>
        <v>100000</v>
      </c>
      <c r="H41" s="51">
        <v>200000</v>
      </c>
    </row>
    <row r="42" spans="1:8" s="74" customFormat="1" ht="15" customHeight="1" x14ac:dyDescent="0.15">
      <c r="A42" s="79">
        <v>8</v>
      </c>
      <c r="B42" s="80">
        <v>4</v>
      </c>
      <c r="C42" s="86" t="s">
        <v>73</v>
      </c>
      <c r="D42" s="101">
        <v>800000</v>
      </c>
      <c r="E42" s="84">
        <f t="shared" si="16"/>
        <v>100000</v>
      </c>
      <c r="F42" s="90"/>
      <c r="G42" s="100">
        <f t="shared" si="15"/>
        <v>100000</v>
      </c>
      <c r="H42" s="51">
        <v>200000</v>
      </c>
    </row>
    <row r="43" spans="1:8" s="74" customFormat="1" ht="15" customHeight="1" x14ac:dyDescent="0.15">
      <c r="A43" s="79">
        <v>9</v>
      </c>
      <c r="B43" s="80">
        <v>4</v>
      </c>
      <c r="C43" s="86" t="s">
        <v>74</v>
      </c>
      <c r="D43" s="101">
        <v>800000</v>
      </c>
      <c r="E43" s="84">
        <f t="shared" si="16"/>
        <v>100000</v>
      </c>
      <c r="F43" s="90"/>
      <c r="G43" s="100">
        <f t="shared" si="15"/>
        <v>100000</v>
      </c>
      <c r="H43" s="51">
        <v>200000</v>
      </c>
    </row>
    <row r="44" spans="1:8" s="74" customFormat="1" ht="15" customHeight="1" x14ac:dyDescent="0.15">
      <c r="A44" s="79">
        <v>10</v>
      </c>
      <c r="B44" s="80">
        <v>4</v>
      </c>
      <c r="C44" s="86" t="s">
        <v>75</v>
      </c>
      <c r="D44" s="101">
        <v>800000</v>
      </c>
      <c r="E44" s="84">
        <f t="shared" si="16"/>
        <v>100000</v>
      </c>
      <c r="F44" s="90"/>
      <c r="G44" s="100">
        <f t="shared" si="15"/>
        <v>100000</v>
      </c>
      <c r="H44" s="51">
        <v>200000</v>
      </c>
    </row>
    <row r="45" spans="1:8" s="74" customFormat="1" ht="15" customHeight="1" x14ac:dyDescent="0.15">
      <c r="A45" s="79">
        <v>11</v>
      </c>
      <c r="B45" s="80">
        <v>4</v>
      </c>
      <c r="C45" s="86" t="s">
        <v>76</v>
      </c>
      <c r="D45" s="101">
        <v>800000</v>
      </c>
      <c r="E45" s="84">
        <f t="shared" si="16"/>
        <v>100000</v>
      </c>
      <c r="F45" s="90"/>
      <c r="G45" s="100">
        <f t="shared" si="15"/>
        <v>100000</v>
      </c>
      <c r="H45" s="51">
        <v>200000</v>
      </c>
    </row>
    <row r="46" spans="1:8" s="74" customFormat="1" ht="15" customHeight="1" x14ac:dyDescent="0.15">
      <c r="A46" s="79">
        <v>12</v>
      </c>
      <c r="B46" s="80">
        <v>4</v>
      </c>
      <c r="C46" s="86" t="s">
        <v>77</v>
      </c>
      <c r="D46" s="101">
        <v>800000</v>
      </c>
      <c r="E46" s="84">
        <f t="shared" si="16"/>
        <v>100000</v>
      </c>
      <c r="F46" s="90"/>
      <c r="G46" s="100">
        <f t="shared" si="15"/>
        <v>100000</v>
      </c>
      <c r="H46" s="51">
        <v>200000</v>
      </c>
    </row>
    <row r="47" spans="1:8" s="74" customFormat="1" ht="15" customHeight="1" x14ac:dyDescent="0.15">
      <c r="A47" s="79">
        <v>13</v>
      </c>
      <c r="B47" s="80"/>
      <c r="C47" s="86" t="s">
        <v>78</v>
      </c>
      <c r="D47" s="101">
        <v>800000</v>
      </c>
      <c r="E47" s="84">
        <f t="shared" si="16"/>
        <v>100000</v>
      </c>
      <c r="F47" s="90"/>
      <c r="G47" s="100">
        <f t="shared" si="15"/>
        <v>100000</v>
      </c>
      <c r="H47" s="51">
        <v>200000</v>
      </c>
    </row>
    <row r="48" spans="1:8" s="74" customFormat="1" ht="15" customHeight="1" x14ac:dyDescent="0.15">
      <c r="A48" s="79">
        <v>14</v>
      </c>
      <c r="B48" s="80">
        <v>4</v>
      </c>
      <c r="C48" s="86" t="s">
        <v>79</v>
      </c>
      <c r="D48" s="101">
        <v>800000</v>
      </c>
      <c r="E48" s="84">
        <f t="shared" si="16"/>
        <v>100000</v>
      </c>
      <c r="F48" s="90"/>
      <c r="G48" s="100">
        <f t="shared" si="15"/>
        <v>100000</v>
      </c>
      <c r="H48" s="51">
        <v>200000</v>
      </c>
    </row>
    <row r="49" spans="1:8" s="74" customFormat="1" ht="15" customHeight="1" x14ac:dyDescent="0.15">
      <c r="A49" s="79">
        <v>15</v>
      </c>
      <c r="B49" s="80">
        <v>4</v>
      </c>
      <c r="C49" s="86" t="s">
        <v>80</v>
      </c>
      <c r="D49" s="101">
        <v>800000</v>
      </c>
      <c r="E49" s="84">
        <f t="shared" si="16"/>
        <v>100000</v>
      </c>
      <c r="F49" s="90"/>
      <c r="G49" s="100">
        <f t="shared" si="15"/>
        <v>100000</v>
      </c>
      <c r="H49" s="51">
        <v>200000</v>
      </c>
    </row>
    <row r="50" spans="1:8" s="74" customFormat="1" ht="15" customHeight="1" x14ac:dyDescent="0.15">
      <c r="A50" s="79">
        <v>16</v>
      </c>
      <c r="B50" s="80" t="s">
        <v>81</v>
      </c>
      <c r="C50" s="81" t="s">
        <v>82</v>
      </c>
      <c r="D50" s="85">
        <v>800000</v>
      </c>
      <c r="E50" s="84">
        <f t="shared" si="16"/>
        <v>100000</v>
      </c>
      <c r="F50" s="84"/>
      <c r="G50" s="100">
        <f t="shared" si="15"/>
        <v>100000</v>
      </c>
      <c r="H50" s="51">
        <v>200000</v>
      </c>
    </row>
    <row r="51" spans="1:8" s="74" customFormat="1" ht="15" customHeight="1" x14ac:dyDescent="0.15">
      <c r="A51" s="79">
        <v>17</v>
      </c>
      <c r="B51" s="80" t="s">
        <v>81</v>
      </c>
      <c r="C51" s="81" t="s">
        <v>83</v>
      </c>
      <c r="D51" s="85">
        <v>800000</v>
      </c>
      <c r="E51" s="84">
        <f t="shared" si="16"/>
        <v>100000</v>
      </c>
      <c r="F51" s="84"/>
      <c r="G51" s="100">
        <f t="shared" si="15"/>
        <v>100000</v>
      </c>
      <c r="H51" s="51">
        <v>200000</v>
      </c>
    </row>
  </sheetData>
  <mergeCells count="26">
    <mergeCell ref="A3:C3"/>
    <mergeCell ref="E32:F32"/>
    <mergeCell ref="A34:C34"/>
    <mergeCell ref="A1:A2"/>
    <mergeCell ref="A32:A33"/>
    <mergeCell ref="B1:B2"/>
    <mergeCell ref="B32:B33"/>
    <mergeCell ref="C1:C2"/>
    <mergeCell ref="C32:C33"/>
    <mergeCell ref="D1:D2"/>
    <mergeCell ref="D32:D33"/>
    <mergeCell ref="E1:E2"/>
    <mergeCell ref="G32:G33"/>
    <mergeCell ref="I1:I2"/>
    <mergeCell ref="J1:J2"/>
    <mergeCell ref="G1:H1"/>
    <mergeCell ref="Q1:Q2"/>
    <mergeCell ref="R1:R2"/>
    <mergeCell ref="S1:S2"/>
    <mergeCell ref="T1:T2"/>
    <mergeCell ref="K1:K2"/>
    <mergeCell ref="L1:L2"/>
    <mergeCell ref="M1:M2"/>
    <mergeCell ref="N1:N2"/>
    <mergeCell ref="O1:O2"/>
    <mergeCell ref="P1:P2"/>
  </mergeCells>
  <phoneticPr fontId="2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E25" sqref="E25"/>
    </sheetView>
  </sheetViews>
  <sheetFormatPr defaultRowHeight="13.5" x14ac:dyDescent="0.15"/>
  <cols>
    <col min="1" max="1" width="9.77734375" style="51" customWidth="1"/>
    <col min="2" max="2" width="7.109375" style="52" customWidth="1"/>
    <col min="3" max="11" width="11.88671875" style="51" customWidth="1"/>
    <col min="12" max="16384" width="8.88671875" style="52"/>
  </cols>
  <sheetData>
    <row r="1" spans="1:11" x14ac:dyDescent="0.15">
      <c r="A1" s="51">
        <v>47000</v>
      </c>
      <c r="B1" s="53" t="s">
        <v>87</v>
      </c>
      <c r="C1" s="54">
        <v>20</v>
      </c>
      <c r="D1" s="55">
        <v>25</v>
      </c>
      <c r="E1" s="54">
        <v>30</v>
      </c>
      <c r="F1" s="55">
        <v>35</v>
      </c>
      <c r="G1" s="54">
        <v>40</v>
      </c>
      <c r="H1" s="55">
        <v>45</v>
      </c>
      <c r="I1" s="54">
        <v>50</v>
      </c>
      <c r="J1" s="55">
        <v>55</v>
      </c>
      <c r="K1" s="69">
        <v>60</v>
      </c>
    </row>
    <row r="2" spans="1:11" x14ac:dyDescent="0.15">
      <c r="A2" s="51">
        <v>30</v>
      </c>
      <c r="B2" s="56"/>
      <c r="C2" s="57"/>
      <c r="D2" s="58"/>
      <c r="E2" s="57"/>
      <c r="F2" s="58"/>
      <c r="G2" s="57"/>
      <c r="H2" s="58"/>
      <c r="I2" s="57"/>
      <c r="J2" s="58"/>
      <c r="K2" s="70"/>
    </row>
    <row r="3" spans="1:11" x14ac:dyDescent="0.15">
      <c r="A3" s="51">
        <v>180000</v>
      </c>
      <c r="B3" s="56"/>
      <c r="C3" s="57"/>
      <c r="D3" s="58"/>
      <c r="E3" s="57"/>
      <c r="F3" s="58"/>
      <c r="G3" s="57"/>
      <c r="H3" s="58"/>
      <c r="I3" s="57"/>
      <c r="J3" s="58"/>
      <c r="K3" s="70"/>
    </row>
    <row r="4" spans="1:11" x14ac:dyDescent="0.15">
      <c r="A4" s="51">
        <f>A1*A2+A3</f>
        <v>1590000</v>
      </c>
      <c r="B4" s="59"/>
      <c r="C4" s="60">
        <f>C1*A4</f>
        <v>31800000</v>
      </c>
      <c r="D4" s="61">
        <f>D1*A4</f>
        <v>39750000</v>
      </c>
      <c r="E4" s="60">
        <f>E1*A4</f>
        <v>47700000</v>
      </c>
      <c r="F4" s="61">
        <f>F1*A4</f>
        <v>55650000</v>
      </c>
      <c r="G4" s="60">
        <f>G1*A4</f>
        <v>63600000</v>
      </c>
      <c r="H4" s="61">
        <f>H1*A4</f>
        <v>71550000</v>
      </c>
      <c r="I4" s="60">
        <f>I1*A4</f>
        <v>79500000</v>
      </c>
      <c r="J4" s="61">
        <f>J1*A4</f>
        <v>87450000</v>
      </c>
      <c r="K4" s="71">
        <f>K1*A4</f>
        <v>95400000</v>
      </c>
    </row>
    <row r="5" spans="1:11" x14ac:dyDescent="0.15">
      <c r="B5" s="62" t="s">
        <v>88</v>
      </c>
      <c r="C5" s="63"/>
      <c r="D5" s="64"/>
      <c r="E5" s="63"/>
      <c r="F5" s="64"/>
      <c r="G5" s="63"/>
      <c r="H5" s="64"/>
      <c r="I5" s="63"/>
      <c r="J5" s="64"/>
      <c r="K5" s="72"/>
    </row>
    <row r="6" spans="1:11" x14ac:dyDescent="0.15">
      <c r="A6" s="51">
        <v>2700000</v>
      </c>
      <c r="B6" s="58" t="s">
        <v>42</v>
      </c>
      <c r="C6" s="57">
        <f>SUM(A6:A12)</f>
        <v>17300000</v>
      </c>
      <c r="D6" s="58">
        <f>C6+200000</f>
        <v>17500000</v>
      </c>
      <c r="E6" s="57">
        <f>D6+2000000</f>
        <v>19500000</v>
      </c>
      <c r="F6" s="58">
        <f>E6+4000000</f>
        <v>23500000</v>
      </c>
      <c r="G6" s="57">
        <f>F6+200000</f>
        <v>23700000</v>
      </c>
      <c r="H6" s="58">
        <f>G6+200000</f>
        <v>23900000</v>
      </c>
      <c r="I6" s="57">
        <f>H6+200000</f>
        <v>24100000</v>
      </c>
      <c r="J6" s="58">
        <f>I6+200000</f>
        <v>24300000</v>
      </c>
      <c r="K6" s="70">
        <f>J6+200000</f>
        <v>24500000</v>
      </c>
    </row>
    <row r="7" spans="1:11" x14ac:dyDescent="0.15">
      <c r="A7" s="51">
        <v>2100000</v>
      </c>
      <c r="B7" s="58" t="s">
        <v>89</v>
      </c>
      <c r="C7" s="57">
        <f>C6*10%</f>
        <v>1730000</v>
      </c>
      <c r="D7" s="58">
        <f t="shared" ref="D7:K7" si="0">D6*10%</f>
        <v>1750000</v>
      </c>
      <c r="E7" s="57">
        <f t="shared" si="0"/>
        <v>1950000</v>
      </c>
      <c r="F7" s="58">
        <f t="shared" si="0"/>
        <v>2350000</v>
      </c>
      <c r="G7" s="57">
        <f t="shared" si="0"/>
        <v>2370000</v>
      </c>
      <c r="H7" s="58">
        <f t="shared" si="0"/>
        <v>2390000</v>
      </c>
      <c r="I7" s="57">
        <f t="shared" si="0"/>
        <v>2410000</v>
      </c>
      <c r="J7" s="58">
        <f t="shared" si="0"/>
        <v>2430000</v>
      </c>
      <c r="K7" s="70">
        <f t="shared" si="0"/>
        <v>2450000</v>
      </c>
    </row>
    <row r="8" spans="1:11" x14ac:dyDescent="0.15">
      <c r="A8" s="51">
        <v>2000000</v>
      </c>
      <c r="B8" s="58" t="s">
        <v>90</v>
      </c>
      <c r="C8" s="57">
        <f>C6*10%</f>
        <v>1730000</v>
      </c>
      <c r="D8" s="58">
        <f t="shared" ref="D8:K8" si="1">D6*10%</f>
        <v>1750000</v>
      </c>
      <c r="E8" s="57">
        <f t="shared" si="1"/>
        <v>1950000</v>
      </c>
      <c r="F8" s="58">
        <f t="shared" si="1"/>
        <v>2350000</v>
      </c>
      <c r="G8" s="57">
        <f t="shared" si="1"/>
        <v>2370000</v>
      </c>
      <c r="H8" s="58">
        <f t="shared" si="1"/>
        <v>2390000</v>
      </c>
      <c r="I8" s="57">
        <f t="shared" si="1"/>
        <v>2410000</v>
      </c>
      <c r="J8" s="58">
        <f t="shared" si="1"/>
        <v>2430000</v>
      </c>
      <c r="K8" s="70">
        <f t="shared" si="1"/>
        <v>2450000</v>
      </c>
    </row>
    <row r="9" spans="1:11" x14ac:dyDescent="0.15">
      <c r="A9" s="51">
        <v>1700000</v>
      </c>
      <c r="B9" s="58" t="s">
        <v>91</v>
      </c>
      <c r="C9" s="57"/>
      <c r="D9" s="58">
        <v>2500000</v>
      </c>
      <c r="E9" s="57">
        <v>3000000</v>
      </c>
      <c r="F9" s="58">
        <v>3500000</v>
      </c>
      <c r="G9" s="57">
        <v>4000000</v>
      </c>
      <c r="H9" s="58">
        <v>4500000</v>
      </c>
      <c r="I9" s="57">
        <v>5000000</v>
      </c>
      <c r="J9" s="58">
        <v>5500000</v>
      </c>
      <c r="K9" s="70">
        <v>6000000</v>
      </c>
    </row>
    <row r="10" spans="1:11" x14ac:dyDescent="0.15">
      <c r="A10" s="51">
        <v>2800000</v>
      </c>
      <c r="B10" s="58" t="s">
        <v>92</v>
      </c>
      <c r="C10" s="57"/>
      <c r="D10" s="58">
        <v>3000000</v>
      </c>
      <c r="E10" s="57">
        <v>3000000</v>
      </c>
      <c r="F10" s="58">
        <v>3000000</v>
      </c>
      <c r="G10" s="57">
        <v>3000000</v>
      </c>
      <c r="H10" s="58">
        <v>3000000</v>
      </c>
      <c r="I10" s="57">
        <v>3000000</v>
      </c>
      <c r="J10" s="58">
        <v>3000000</v>
      </c>
      <c r="K10" s="70">
        <v>3000000</v>
      </c>
    </row>
    <row r="11" spans="1:11" x14ac:dyDescent="0.15">
      <c r="A11" s="51">
        <v>1000000</v>
      </c>
      <c r="B11" s="58" t="s">
        <v>50</v>
      </c>
      <c r="C11" s="57">
        <v>2000000</v>
      </c>
      <c r="D11" s="58">
        <v>3000000</v>
      </c>
      <c r="E11" s="57">
        <v>4000000</v>
      </c>
      <c r="F11" s="58">
        <v>5000000</v>
      </c>
      <c r="G11" s="57">
        <v>6000000</v>
      </c>
      <c r="H11" s="58">
        <v>7000000</v>
      </c>
      <c r="I11" s="57">
        <v>8000000</v>
      </c>
      <c r="J11" s="58">
        <v>9000000</v>
      </c>
      <c r="K11" s="70">
        <v>10000000</v>
      </c>
    </row>
    <row r="12" spans="1:11" x14ac:dyDescent="0.15">
      <c r="A12" s="51">
        <v>5000000</v>
      </c>
      <c r="B12" s="58" t="s">
        <v>49</v>
      </c>
      <c r="C12" s="57"/>
      <c r="D12" s="58">
        <v>5000000</v>
      </c>
      <c r="E12" s="57">
        <v>5000000</v>
      </c>
      <c r="F12" s="58">
        <v>5000000</v>
      </c>
      <c r="G12" s="57">
        <v>5000000</v>
      </c>
      <c r="H12" s="58">
        <v>5000000</v>
      </c>
      <c r="I12" s="57">
        <v>5000000</v>
      </c>
      <c r="J12" s="58">
        <v>5000000</v>
      </c>
      <c r="K12" s="70">
        <v>5000000</v>
      </c>
    </row>
    <row r="13" spans="1:11" x14ac:dyDescent="0.15">
      <c r="A13" s="51">
        <v>11</v>
      </c>
      <c r="B13" s="58"/>
      <c r="C13" s="57"/>
      <c r="D13" s="58"/>
      <c r="E13" s="57"/>
      <c r="F13" s="58"/>
      <c r="G13" s="57"/>
      <c r="H13" s="58"/>
      <c r="I13" s="57"/>
      <c r="J13" s="58"/>
      <c r="K13" s="70"/>
    </row>
    <row r="14" spans="1:11" x14ac:dyDescent="0.15">
      <c r="B14" s="65" t="s">
        <v>93</v>
      </c>
      <c r="C14" s="57">
        <v>4300000</v>
      </c>
      <c r="D14" s="58"/>
      <c r="E14" s="57"/>
      <c r="F14" s="58"/>
      <c r="G14" s="57"/>
      <c r="H14" s="58"/>
      <c r="I14" s="57"/>
      <c r="J14" s="58"/>
      <c r="K14" s="70"/>
    </row>
    <row r="15" spans="1:11" x14ac:dyDescent="0.15">
      <c r="B15" s="58" t="s">
        <v>94</v>
      </c>
      <c r="C15" s="57"/>
      <c r="D15" s="58"/>
      <c r="E15" s="57"/>
      <c r="F15" s="58"/>
      <c r="G15" s="57">
        <v>10000000</v>
      </c>
      <c r="H15" s="58">
        <v>10000000</v>
      </c>
      <c r="I15" s="57">
        <v>10000000</v>
      </c>
      <c r="J15" s="58">
        <v>10000000</v>
      </c>
      <c r="K15" s="70">
        <v>10000000</v>
      </c>
    </row>
    <row r="16" spans="1:11" x14ac:dyDescent="0.15">
      <c r="B16" s="56"/>
      <c r="C16" s="57"/>
      <c r="D16" s="58"/>
      <c r="E16" s="57"/>
      <c r="F16" s="58"/>
      <c r="G16" s="57"/>
      <c r="H16" s="58"/>
      <c r="I16" s="57"/>
      <c r="J16" s="58"/>
      <c r="K16" s="70"/>
    </row>
    <row r="17" spans="2:11" x14ac:dyDescent="0.15">
      <c r="B17" s="56"/>
      <c r="C17" s="57"/>
      <c r="D17" s="58"/>
      <c r="E17" s="57"/>
      <c r="F17" s="58"/>
      <c r="G17" s="57"/>
      <c r="H17" s="58"/>
      <c r="I17" s="57"/>
      <c r="J17" s="58"/>
      <c r="K17" s="70"/>
    </row>
    <row r="18" spans="2:11" x14ac:dyDescent="0.15">
      <c r="B18" s="66"/>
      <c r="C18" s="67">
        <f>SUM(C6:C17)</f>
        <v>27060000</v>
      </c>
      <c r="D18" s="68">
        <f t="shared" ref="D18:K18" si="2">SUM(D6:D13)</f>
        <v>34500000</v>
      </c>
      <c r="E18" s="67">
        <f t="shared" si="2"/>
        <v>38400000</v>
      </c>
      <c r="F18" s="68">
        <f t="shared" si="2"/>
        <v>44700000</v>
      </c>
      <c r="G18" s="67">
        <f t="shared" si="2"/>
        <v>46440000</v>
      </c>
      <c r="H18" s="68">
        <f t="shared" si="2"/>
        <v>48180000</v>
      </c>
      <c r="I18" s="67">
        <f t="shared" si="2"/>
        <v>49920000</v>
      </c>
      <c r="J18" s="68">
        <f t="shared" si="2"/>
        <v>51660000</v>
      </c>
      <c r="K18" s="73">
        <f t="shared" si="2"/>
        <v>53400000</v>
      </c>
    </row>
    <row r="19" spans="2:11" x14ac:dyDescent="0.15">
      <c r="B19" s="59"/>
      <c r="C19" s="60">
        <f t="shared" ref="C19:K19" si="3">C4-C18</f>
        <v>4740000</v>
      </c>
      <c r="D19" s="61">
        <f t="shared" si="3"/>
        <v>5250000</v>
      </c>
      <c r="E19" s="60">
        <f t="shared" si="3"/>
        <v>9300000</v>
      </c>
      <c r="F19" s="61">
        <f t="shared" si="3"/>
        <v>10950000</v>
      </c>
      <c r="G19" s="60">
        <f t="shared" si="3"/>
        <v>17160000</v>
      </c>
      <c r="H19" s="61">
        <f t="shared" si="3"/>
        <v>23370000</v>
      </c>
      <c r="I19" s="60">
        <f t="shared" si="3"/>
        <v>29580000</v>
      </c>
      <c r="J19" s="61">
        <f t="shared" si="3"/>
        <v>35790000</v>
      </c>
      <c r="K19" s="71">
        <f t="shared" si="3"/>
        <v>42000000</v>
      </c>
    </row>
  </sheetData>
  <phoneticPr fontId="28" type="noConversion"/>
  <pageMargins left="0.24" right="0.19" top="1" bottom="1" header="0.5" footer="0.5"/>
  <pageSetup paperSize="9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workbookViewId="0">
      <selection activeCell="B11" sqref="B11"/>
    </sheetView>
  </sheetViews>
  <sheetFormatPr defaultColWidth="8.88671875" defaultRowHeight="13.5" x14ac:dyDescent="0.15"/>
  <cols>
    <col min="1" max="1" width="18.109375" customWidth="1"/>
    <col min="2" max="2" width="40.88671875" customWidth="1"/>
  </cols>
  <sheetData>
    <row r="2" spans="1:2" x14ac:dyDescent="0.15">
      <c r="A2" t="s">
        <v>95</v>
      </c>
      <c r="B2" t="s">
        <v>96</v>
      </c>
    </row>
    <row r="3" spans="1:2" x14ac:dyDescent="0.15">
      <c r="A3" s="49">
        <v>20100930</v>
      </c>
      <c r="B3" t="s">
        <v>97</v>
      </c>
    </row>
    <row r="4" spans="1:2" x14ac:dyDescent="0.15">
      <c r="A4" s="49">
        <v>20101102</v>
      </c>
      <c r="B4" t="s">
        <v>98</v>
      </c>
    </row>
    <row r="5" spans="1:2" x14ac:dyDescent="0.15">
      <c r="A5" s="50">
        <v>201011050702</v>
      </c>
      <c r="B5" t="s">
        <v>99</v>
      </c>
    </row>
    <row r="6" spans="1:2" x14ac:dyDescent="0.15">
      <c r="A6" s="50">
        <v>201011231740</v>
      </c>
      <c r="B6" t="s">
        <v>100</v>
      </c>
    </row>
    <row r="7" spans="1:2" x14ac:dyDescent="0.15">
      <c r="A7" s="50">
        <v>20101129</v>
      </c>
      <c r="B7" t="s">
        <v>101</v>
      </c>
    </row>
    <row r="8" spans="1:2" x14ac:dyDescent="0.15">
      <c r="A8" s="50">
        <v>20110130</v>
      </c>
    </row>
  </sheetData>
  <phoneticPr fontId="28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opLeftCell="A4" workbookViewId="0">
      <selection activeCell="M16" sqref="M16:M23"/>
    </sheetView>
  </sheetViews>
  <sheetFormatPr defaultRowHeight="15" customHeight="1" x14ac:dyDescent="0.15"/>
  <cols>
    <col min="1" max="1" width="5" style="1" customWidth="1"/>
    <col min="2" max="2" width="6.77734375" style="2" customWidth="1"/>
    <col min="3" max="3" width="5.5546875" style="1" customWidth="1"/>
    <col min="4" max="4" width="10.5546875" style="2" customWidth="1"/>
    <col min="5" max="5" width="11.5546875" style="3" customWidth="1"/>
    <col min="6" max="12" width="0.5546875" style="4" customWidth="1"/>
    <col min="13" max="13" width="5.109375" style="4" customWidth="1"/>
    <col min="14" max="14" width="4.5546875" style="4" customWidth="1"/>
    <col min="15" max="15" width="5.44140625" style="4" customWidth="1"/>
    <col min="16" max="16" width="4.21875" style="4" customWidth="1"/>
    <col min="17" max="17" width="7.77734375" style="1" customWidth="1"/>
    <col min="18" max="16384" width="8.88671875" style="1"/>
  </cols>
  <sheetData>
    <row r="1" spans="1:17" ht="15" customHeight="1" x14ac:dyDescent="0.15">
      <c r="A1" s="5" t="s">
        <v>102</v>
      </c>
      <c r="B1" s="6" t="s">
        <v>53</v>
      </c>
      <c r="C1" s="7" t="s">
        <v>103</v>
      </c>
      <c r="D1" s="6" t="s">
        <v>104</v>
      </c>
      <c r="E1" s="8" t="s">
        <v>105</v>
      </c>
      <c r="F1" s="9" t="s">
        <v>106</v>
      </c>
      <c r="G1" s="10" t="s">
        <v>107</v>
      </c>
      <c r="H1" s="11" t="s">
        <v>108</v>
      </c>
      <c r="I1" s="33" t="s">
        <v>106</v>
      </c>
      <c r="J1" s="10" t="s">
        <v>107</v>
      </c>
      <c r="K1" s="34">
        <v>1</v>
      </c>
      <c r="L1" s="35" t="s">
        <v>109</v>
      </c>
      <c r="M1" s="36" t="s">
        <v>106</v>
      </c>
      <c r="N1" s="37" t="s">
        <v>107</v>
      </c>
      <c r="O1" s="38">
        <v>2</v>
      </c>
      <c r="P1" s="39" t="s">
        <v>109</v>
      </c>
    </row>
    <row r="2" spans="1:17" ht="15" customHeight="1" x14ac:dyDescent="0.15">
      <c r="A2" s="12">
        <v>1</v>
      </c>
      <c r="B2" s="13" t="s">
        <v>12</v>
      </c>
      <c r="C2" s="14" t="s">
        <v>110</v>
      </c>
      <c r="D2" s="13" t="s">
        <v>11</v>
      </c>
      <c r="E2" s="15">
        <v>40269</v>
      </c>
      <c r="F2" s="16">
        <v>249</v>
      </c>
      <c r="G2" s="16">
        <v>20</v>
      </c>
      <c r="H2" s="17">
        <f t="shared" ref="H2:H27" si="0">SUM(F2:G2)</f>
        <v>269</v>
      </c>
      <c r="I2" s="40">
        <v>249</v>
      </c>
      <c r="J2" s="16">
        <v>20</v>
      </c>
      <c r="K2" s="16">
        <f t="shared" ref="K2:K27" si="1">SUM(I2:J2)</f>
        <v>269</v>
      </c>
      <c r="L2" s="35">
        <f t="shared" ref="L2:L28" si="2">K2-H2</f>
        <v>0</v>
      </c>
      <c r="M2" s="41">
        <v>249</v>
      </c>
      <c r="N2" s="16">
        <v>20</v>
      </c>
      <c r="O2" s="42">
        <f t="shared" ref="O2:O27" si="3">SUM(M2:N2)</f>
        <v>269</v>
      </c>
      <c r="P2" s="43">
        <f t="shared" ref="P2:P28" si="4">O2-H2</f>
        <v>0</v>
      </c>
      <c r="Q2" s="48">
        <f t="shared" ref="Q2:Q27" si="5">O2*12</f>
        <v>3228</v>
      </c>
    </row>
    <row r="3" spans="1:17" ht="15" customHeight="1" x14ac:dyDescent="0.15">
      <c r="A3" s="12">
        <v>2</v>
      </c>
      <c r="B3" s="13" t="s">
        <v>67</v>
      </c>
      <c r="C3" s="14" t="s">
        <v>111</v>
      </c>
      <c r="D3" s="13" t="s">
        <v>112</v>
      </c>
      <c r="E3" s="15">
        <v>40239</v>
      </c>
      <c r="F3" s="16">
        <v>190</v>
      </c>
      <c r="G3" s="16">
        <v>20</v>
      </c>
      <c r="H3" s="17">
        <f t="shared" si="0"/>
        <v>210</v>
      </c>
      <c r="I3" s="40">
        <v>193</v>
      </c>
      <c r="J3" s="16">
        <v>20</v>
      </c>
      <c r="K3" s="16">
        <f t="shared" si="1"/>
        <v>213</v>
      </c>
      <c r="L3" s="35">
        <f t="shared" si="2"/>
        <v>3</v>
      </c>
      <c r="M3" s="41">
        <v>195</v>
      </c>
      <c r="N3" s="16">
        <v>20</v>
      </c>
      <c r="O3" s="42">
        <f t="shared" si="3"/>
        <v>215</v>
      </c>
      <c r="P3" s="43">
        <f t="shared" si="4"/>
        <v>5</v>
      </c>
      <c r="Q3" s="48">
        <f t="shared" si="5"/>
        <v>2580</v>
      </c>
    </row>
    <row r="4" spans="1:17" ht="15" customHeight="1" x14ac:dyDescent="0.15">
      <c r="A4" s="12">
        <v>3</v>
      </c>
      <c r="B4" s="13" t="s">
        <v>10</v>
      </c>
      <c r="C4" s="14" t="s">
        <v>111</v>
      </c>
      <c r="D4" s="13" t="s">
        <v>43</v>
      </c>
      <c r="E4" s="15">
        <v>40232</v>
      </c>
      <c r="F4" s="16">
        <v>180</v>
      </c>
      <c r="G4" s="16">
        <v>20</v>
      </c>
      <c r="H4" s="17">
        <f t="shared" si="0"/>
        <v>200</v>
      </c>
      <c r="I4" s="40">
        <v>185</v>
      </c>
      <c r="J4" s="16">
        <v>20</v>
      </c>
      <c r="K4" s="16">
        <f t="shared" si="1"/>
        <v>205</v>
      </c>
      <c r="L4" s="35">
        <f t="shared" si="2"/>
        <v>5</v>
      </c>
      <c r="M4" s="41">
        <v>190</v>
      </c>
      <c r="N4" s="16">
        <v>20</v>
      </c>
      <c r="O4" s="42">
        <f t="shared" si="3"/>
        <v>210</v>
      </c>
      <c r="P4" s="43">
        <f t="shared" si="4"/>
        <v>10</v>
      </c>
      <c r="Q4" s="48">
        <f t="shared" si="5"/>
        <v>2520</v>
      </c>
    </row>
    <row r="5" spans="1:17" ht="15" customHeight="1" x14ac:dyDescent="0.15">
      <c r="A5" s="12">
        <v>4</v>
      </c>
      <c r="B5" s="13" t="s">
        <v>68</v>
      </c>
      <c r="C5" s="14" t="s">
        <v>111</v>
      </c>
      <c r="D5" s="13" t="s">
        <v>44</v>
      </c>
      <c r="E5" s="15">
        <v>40259</v>
      </c>
      <c r="F5" s="16">
        <v>150</v>
      </c>
      <c r="G5" s="16">
        <v>20</v>
      </c>
      <c r="H5" s="17">
        <f t="shared" si="0"/>
        <v>170</v>
      </c>
      <c r="I5" s="40">
        <v>153</v>
      </c>
      <c r="J5" s="16">
        <v>20</v>
      </c>
      <c r="K5" s="16">
        <f t="shared" si="1"/>
        <v>173</v>
      </c>
      <c r="L5" s="35">
        <f t="shared" si="2"/>
        <v>3</v>
      </c>
      <c r="M5" s="41">
        <v>155</v>
      </c>
      <c r="N5" s="16">
        <v>20</v>
      </c>
      <c r="O5" s="42">
        <f t="shared" si="3"/>
        <v>175</v>
      </c>
      <c r="P5" s="43">
        <f t="shared" si="4"/>
        <v>5</v>
      </c>
      <c r="Q5" s="48">
        <f t="shared" si="5"/>
        <v>2100</v>
      </c>
    </row>
    <row r="6" spans="1:17" ht="15" customHeight="1" x14ac:dyDescent="0.15">
      <c r="A6" s="12">
        <v>5</v>
      </c>
      <c r="B6" s="18" t="s">
        <v>70</v>
      </c>
      <c r="C6" s="19" t="s">
        <v>110</v>
      </c>
      <c r="D6" s="18" t="s">
        <v>113</v>
      </c>
      <c r="E6" s="20">
        <v>40232</v>
      </c>
      <c r="F6" s="16">
        <v>120</v>
      </c>
      <c r="G6" s="16">
        <v>20</v>
      </c>
      <c r="H6" s="17">
        <f t="shared" si="0"/>
        <v>140</v>
      </c>
      <c r="I6" s="40">
        <v>125</v>
      </c>
      <c r="J6" s="16">
        <v>20</v>
      </c>
      <c r="K6" s="16">
        <f t="shared" si="1"/>
        <v>145</v>
      </c>
      <c r="L6" s="35">
        <f t="shared" si="2"/>
        <v>5</v>
      </c>
      <c r="M6" s="41">
        <v>130</v>
      </c>
      <c r="N6" s="16">
        <v>20</v>
      </c>
      <c r="O6" s="42">
        <f t="shared" si="3"/>
        <v>150</v>
      </c>
      <c r="P6" s="43">
        <f t="shared" si="4"/>
        <v>10</v>
      </c>
      <c r="Q6" s="48">
        <f t="shared" si="5"/>
        <v>1800</v>
      </c>
    </row>
    <row r="7" spans="1:17" ht="15" customHeight="1" x14ac:dyDescent="0.15">
      <c r="A7" s="12">
        <v>6</v>
      </c>
      <c r="B7" s="18" t="s">
        <v>71</v>
      </c>
      <c r="C7" s="19" t="s">
        <v>111</v>
      </c>
      <c r="D7" s="18" t="s">
        <v>113</v>
      </c>
      <c r="E7" s="20">
        <v>40232</v>
      </c>
      <c r="F7" s="16">
        <v>120</v>
      </c>
      <c r="G7" s="16">
        <v>20</v>
      </c>
      <c r="H7" s="17">
        <f t="shared" si="0"/>
        <v>140</v>
      </c>
      <c r="I7" s="40">
        <v>125</v>
      </c>
      <c r="J7" s="16">
        <v>20</v>
      </c>
      <c r="K7" s="16">
        <f t="shared" si="1"/>
        <v>145</v>
      </c>
      <c r="L7" s="35">
        <f t="shared" si="2"/>
        <v>5</v>
      </c>
      <c r="M7" s="41">
        <v>130</v>
      </c>
      <c r="N7" s="16">
        <v>20</v>
      </c>
      <c r="O7" s="42">
        <f t="shared" si="3"/>
        <v>150</v>
      </c>
      <c r="P7" s="43">
        <f t="shared" si="4"/>
        <v>10</v>
      </c>
      <c r="Q7" s="48">
        <f t="shared" si="5"/>
        <v>1800</v>
      </c>
    </row>
    <row r="8" spans="1:17" ht="15" customHeight="1" x14ac:dyDescent="0.15">
      <c r="A8" s="12">
        <v>7</v>
      </c>
      <c r="B8" s="13" t="s">
        <v>114</v>
      </c>
      <c r="C8" s="14" t="s">
        <v>111</v>
      </c>
      <c r="D8" s="13" t="s">
        <v>112</v>
      </c>
      <c r="E8" s="15">
        <v>40448</v>
      </c>
      <c r="F8" s="16">
        <v>120</v>
      </c>
      <c r="G8" s="16">
        <v>20</v>
      </c>
      <c r="H8" s="17">
        <f t="shared" si="0"/>
        <v>140</v>
      </c>
      <c r="I8" s="40">
        <v>123</v>
      </c>
      <c r="J8" s="16">
        <v>20</v>
      </c>
      <c r="K8" s="16">
        <f t="shared" si="1"/>
        <v>143</v>
      </c>
      <c r="L8" s="35">
        <f t="shared" si="2"/>
        <v>3</v>
      </c>
      <c r="M8" s="41">
        <v>125</v>
      </c>
      <c r="N8" s="16">
        <v>20</v>
      </c>
      <c r="O8" s="42">
        <f t="shared" si="3"/>
        <v>145</v>
      </c>
      <c r="P8" s="43">
        <f t="shared" si="4"/>
        <v>5</v>
      </c>
      <c r="Q8" s="48">
        <f t="shared" si="5"/>
        <v>1740</v>
      </c>
    </row>
    <row r="9" spans="1:17" ht="15" customHeight="1" x14ac:dyDescent="0.15">
      <c r="A9" s="12">
        <v>8</v>
      </c>
      <c r="B9" s="21" t="s">
        <v>115</v>
      </c>
      <c r="C9" s="22" t="s">
        <v>111</v>
      </c>
      <c r="D9" s="21" t="s">
        <v>113</v>
      </c>
      <c r="E9" s="23">
        <v>40467</v>
      </c>
      <c r="F9" s="16">
        <v>100</v>
      </c>
      <c r="G9" s="16">
        <v>20</v>
      </c>
      <c r="H9" s="17">
        <f t="shared" si="0"/>
        <v>120</v>
      </c>
      <c r="I9" s="40">
        <v>105</v>
      </c>
      <c r="J9" s="16">
        <v>20</v>
      </c>
      <c r="K9" s="16">
        <f t="shared" si="1"/>
        <v>125</v>
      </c>
      <c r="L9" s="35">
        <f t="shared" si="2"/>
        <v>5</v>
      </c>
      <c r="M9" s="41">
        <v>110</v>
      </c>
      <c r="N9" s="16">
        <v>20</v>
      </c>
      <c r="O9" s="42">
        <f t="shared" si="3"/>
        <v>130</v>
      </c>
      <c r="P9" s="43">
        <f t="shared" si="4"/>
        <v>10</v>
      </c>
      <c r="Q9" s="48">
        <f t="shared" si="5"/>
        <v>1560</v>
      </c>
    </row>
    <row r="10" spans="1:17" ht="15" customHeight="1" x14ac:dyDescent="0.15">
      <c r="A10" s="12">
        <v>9</v>
      </c>
      <c r="B10" s="21" t="s">
        <v>72</v>
      </c>
      <c r="C10" s="22" t="s">
        <v>111</v>
      </c>
      <c r="D10" s="21" t="s">
        <v>113</v>
      </c>
      <c r="E10" s="23">
        <v>40245</v>
      </c>
      <c r="F10" s="16">
        <v>90</v>
      </c>
      <c r="G10" s="16">
        <v>20</v>
      </c>
      <c r="H10" s="17">
        <f t="shared" si="0"/>
        <v>110</v>
      </c>
      <c r="I10" s="40">
        <v>95</v>
      </c>
      <c r="J10" s="16">
        <v>20</v>
      </c>
      <c r="K10" s="16">
        <f t="shared" si="1"/>
        <v>115</v>
      </c>
      <c r="L10" s="35">
        <f t="shared" si="2"/>
        <v>5</v>
      </c>
      <c r="M10" s="41">
        <v>100</v>
      </c>
      <c r="N10" s="16">
        <v>20</v>
      </c>
      <c r="O10" s="42">
        <f t="shared" si="3"/>
        <v>120</v>
      </c>
      <c r="P10" s="43">
        <f t="shared" si="4"/>
        <v>10</v>
      </c>
      <c r="Q10" s="48">
        <f t="shared" si="5"/>
        <v>1440</v>
      </c>
    </row>
    <row r="11" spans="1:17" ht="15" customHeight="1" x14ac:dyDescent="0.15">
      <c r="A11" s="12">
        <v>10</v>
      </c>
      <c r="B11" s="13" t="s">
        <v>82</v>
      </c>
      <c r="C11" s="14" t="s">
        <v>111</v>
      </c>
      <c r="D11" s="13" t="s">
        <v>45</v>
      </c>
      <c r="E11" s="15">
        <v>40239</v>
      </c>
      <c r="F11" s="16">
        <v>80</v>
      </c>
      <c r="G11" s="16">
        <v>20</v>
      </c>
      <c r="H11" s="17">
        <f t="shared" si="0"/>
        <v>100</v>
      </c>
      <c r="I11" s="40">
        <v>87</v>
      </c>
      <c r="J11" s="16">
        <v>20</v>
      </c>
      <c r="K11" s="16">
        <f t="shared" si="1"/>
        <v>107</v>
      </c>
      <c r="L11" s="35">
        <f t="shared" si="2"/>
        <v>7</v>
      </c>
      <c r="M11" s="41">
        <v>90</v>
      </c>
      <c r="N11" s="16">
        <v>20</v>
      </c>
      <c r="O11" s="42">
        <f t="shared" si="3"/>
        <v>110</v>
      </c>
      <c r="P11" s="43">
        <f t="shared" si="4"/>
        <v>10</v>
      </c>
      <c r="Q11" s="48">
        <f t="shared" si="5"/>
        <v>1320</v>
      </c>
    </row>
    <row r="12" spans="1:17" ht="15" customHeight="1" x14ac:dyDescent="0.15">
      <c r="A12" s="12">
        <v>11</v>
      </c>
      <c r="B12" s="18" t="s">
        <v>73</v>
      </c>
      <c r="C12" s="19" t="s">
        <v>111</v>
      </c>
      <c r="D12" s="18" t="s">
        <v>113</v>
      </c>
      <c r="E12" s="20">
        <v>40270</v>
      </c>
      <c r="F12" s="16">
        <v>80</v>
      </c>
      <c r="G12" s="16">
        <v>20</v>
      </c>
      <c r="H12" s="17">
        <f t="shared" si="0"/>
        <v>100</v>
      </c>
      <c r="I12" s="40">
        <v>90</v>
      </c>
      <c r="J12" s="16">
        <v>20</v>
      </c>
      <c r="K12" s="16">
        <f t="shared" si="1"/>
        <v>110</v>
      </c>
      <c r="L12" s="35">
        <f t="shared" si="2"/>
        <v>10</v>
      </c>
      <c r="M12" s="41">
        <v>90</v>
      </c>
      <c r="N12" s="16">
        <v>20</v>
      </c>
      <c r="O12" s="42">
        <f t="shared" si="3"/>
        <v>110</v>
      </c>
      <c r="P12" s="43">
        <f t="shared" si="4"/>
        <v>10</v>
      </c>
      <c r="Q12" s="48">
        <f t="shared" si="5"/>
        <v>1320</v>
      </c>
    </row>
    <row r="13" spans="1:17" ht="15" customHeight="1" x14ac:dyDescent="0.15">
      <c r="A13" s="12">
        <v>12</v>
      </c>
      <c r="B13" s="18" t="s">
        <v>116</v>
      </c>
      <c r="C13" s="19" t="s">
        <v>111</v>
      </c>
      <c r="D13" s="18" t="s">
        <v>113</v>
      </c>
      <c r="E13" s="20">
        <v>40315</v>
      </c>
      <c r="F13" s="16">
        <v>80</v>
      </c>
      <c r="G13" s="16">
        <v>20</v>
      </c>
      <c r="H13" s="17">
        <f t="shared" si="0"/>
        <v>100</v>
      </c>
      <c r="I13" s="40">
        <v>90</v>
      </c>
      <c r="J13" s="16">
        <v>20</v>
      </c>
      <c r="K13" s="16">
        <f t="shared" si="1"/>
        <v>110</v>
      </c>
      <c r="L13" s="35">
        <f t="shared" si="2"/>
        <v>10</v>
      </c>
      <c r="M13" s="41">
        <v>90</v>
      </c>
      <c r="N13" s="16">
        <v>20</v>
      </c>
      <c r="O13" s="42">
        <f t="shared" si="3"/>
        <v>110</v>
      </c>
      <c r="P13" s="43">
        <f t="shared" si="4"/>
        <v>10</v>
      </c>
      <c r="Q13" s="48">
        <f t="shared" si="5"/>
        <v>1320</v>
      </c>
    </row>
    <row r="14" spans="1:17" ht="15" customHeight="1" x14ac:dyDescent="0.15">
      <c r="A14" s="12">
        <v>13</v>
      </c>
      <c r="B14" s="18" t="s">
        <v>74</v>
      </c>
      <c r="C14" s="19" t="s">
        <v>111</v>
      </c>
      <c r="D14" s="18" t="s">
        <v>113</v>
      </c>
      <c r="E14" s="20">
        <v>40332</v>
      </c>
      <c r="F14" s="16">
        <v>80</v>
      </c>
      <c r="G14" s="16">
        <v>20</v>
      </c>
      <c r="H14" s="17">
        <f t="shared" si="0"/>
        <v>100</v>
      </c>
      <c r="I14" s="40">
        <v>90</v>
      </c>
      <c r="J14" s="16">
        <v>20</v>
      </c>
      <c r="K14" s="16">
        <f t="shared" si="1"/>
        <v>110</v>
      </c>
      <c r="L14" s="35">
        <f t="shared" si="2"/>
        <v>10</v>
      </c>
      <c r="M14" s="41">
        <v>90</v>
      </c>
      <c r="N14" s="16">
        <v>20</v>
      </c>
      <c r="O14" s="42">
        <f t="shared" si="3"/>
        <v>110</v>
      </c>
      <c r="P14" s="43">
        <f t="shared" si="4"/>
        <v>10</v>
      </c>
      <c r="Q14" s="48">
        <f t="shared" si="5"/>
        <v>1320</v>
      </c>
    </row>
    <row r="15" spans="1:17" ht="15" customHeight="1" x14ac:dyDescent="0.15">
      <c r="A15" s="24">
        <v>14</v>
      </c>
      <c r="B15" s="25" t="s">
        <v>80</v>
      </c>
      <c r="C15" s="26" t="s">
        <v>111</v>
      </c>
      <c r="D15" s="27" t="s">
        <v>113</v>
      </c>
      <c r="E15" s="28">
        <v>40396</v>
      </c>
      <c r="F15" s="16">
        <v>80</v>
      </c>
      <c r="G15" s="16">
        <v>20</v>
      </c>
      <c r="H15" s="17">
        <f t="shared" si="0"/>
        <v>100</v>
      </c>
      <c r="I15" s="40">
        <v>85</v>
      </c>
      <c r="J15" s="16">
        <v>20</v>
      </c>
      <c r="K15" s="16">
        <f t="shared" si="1"/>
        <v>105</v>
      </c>
      <c r="L15" s="35">
        <f t="shared" si="2"/>
        <v>5</v>
      </c>
      <c r="M15" s="41">
        <v>85</v>
      </c>
      <c r="N15" s="16">
        <v>20</v>
      </c>
      <c r="O15" s="42">
        <f t="shared" si="3"/>
        <v>105</v>
      </c>
      <c r="P15" s="43">
        <f t="shared" si="4"/>
        <v>5</v>
      </c>
      <c r="Q15" s="48">
        <f t="shared" si="5"/>
        <v>1260</v>
      </c>
    </row>
    <row r="16" spans="1:17" ht="15" customHeight="1" x14ac:dyDescent="0.15">
      <c r="A16" s="12">
        <v>15</v>
      </c>
      <c r="B16" s="27" t="s">
        <v>77</v>
      </c>
      <c r="C16" s="26" t="s">
        <v>111</v>
      </c>
      <c r="D16" s="27" t="s">
        <v>113</v>
      </c>
      <c r="E16" s="28">
        <v>40415</v>
      </c>
      <c r="F16" s="16">
        <v>80</v>
      </c>
      <c r="G16" s="16">
        <v>20</v>
      </c>
      <c r="H16" s="17">
        <f t="shared" si="0"/>
        <v>100</v>
      </c>
      <c r="I16" s="40">
        <v>85</v>
      </c>
      <c r="J16" s="16">
        <v>20</v>
      </c>
      <c r="K16" s="16">
        <f t="shared" si="1"/>
        <v>105</v>
      </c>
      <c r="L16" s="35">
        <f t="shared" si="2"/>
        <v>5</v>
      </c>
      <c r="M16" s="41">
        <v>85</v>
      </c>
      <c r="N16" s="16">
        <v>20</v>
      </c>
      <c r="O16" s="42">
        <f t="shared" si="3"/>
        <v>105</v>
      </c>
      <c r="P16" s="43">
        <f t="shared" si="4"/>
        <v>5</v>
      </c>
      <c r="Q16" s="48">
        <f t="shared" si="5"/>
        <v>1260</v>
      </c>
    </row>
    <row r="17" spans="1:17" ht="15" customHeight="1" x14ac:dyDescent="0.15">
      <c r="A17" s="12">
        <v>16</v>
      </c>
      <c r="B17" s="27" t="s">
        <v>117</v>
      </c>
      <c r="C17" s="26" t="s">
        <v>111</v>
      </c>
      <c r="D17" s="27" t="s">
        <v>113</v>
      </c>
      <c r="E17" s="28">
        <v>40416</v>
      </c>
      <c r="F17" s="16">
        <v>80</v>
      </c>
      <c r="G17" s="16">
        <v>20</v>
      </c>
      <c r="H17" s="17">
        <f t="shared" si="0"/>
        <v>100</v>
      </c>
      <c r="I17" s="40">
        <v>85</v>
      </c>
      <c r="J17" s="16">
        <v>20</v>
      </c>
      <c r="K17" s="16">
        <f t="shared" si="1"/>
        <v>105</v>
      </c>
      <c r="L17" s="35">
        <f t="shared" si="2"/>
        <v>5</v>
      </c>
      <c r="M17" s="41">
        <v>85</v>
      </c>
      <c r="N17" s="16">
        <v>20</v>
      </c>
      <c r="O17" s="42">
        <f t="shared" si="3"/>
        <v>105</v>
      </c>
      <c r="P17" s="43">
        <f t="shared" si="4"/>
        <v>5</v>
      </c>
      <c r="Q17" s="48">
        <f t="shared" si="5"/>
        <v>1260</v>
      </c>
    </row>
    <row r="18" spans="1:17" ht="15" customHeight="1" x14ac:dyDescent="0.15">
      <c r="A18" s="12">
        <v>17</v>
      </c>
      <c r="B18" s="27" t="s">
        <v>118</v>
      </c>
      <c r="C18" s="26" t="s">
        <v>111</v>
      </c>
      <c r="D18" s="27" t="s">
        <v>113</v>
      </c>
      <c r="E18" s="28">
        <v>40458</v>
      </c>
      <c r="F18" s="16">
        <v>80</v>
      </c>
      <c r="G18" s="16">
        <v>20</v>
      </c>
      <c r="H18" s="17">
        <f t="shared" si="0"/>
        <v>100</v>
      </c>
      <c r="I18" s="40">
        <v>85</v>
      </c>
      <c r="J18" s="16">
        <v>20</v>
      </c>
      <c r="K18" s="16">
        <f t="shared" si="1"/>
        <v>105</v>
      </c>
      <c r="L18" s="35">
        <f t="shared" si="2"/>
        <v>5</v>
      </c>
      <c r="M18" s="41">
        <v>85</v>
      </c>
      <c r="N18" s="16">
        <v>20</v>
      </c>
      <c r="O18" s="42">
        <f t="shared" si="3"/>
        <v>105</v>
      </c>
      <c r="P18" s="43">
        <f t="shared" si="4"/>
        <v>5</v>
      </c>
      <c r="Q18" s="48">
        <f t="shared" si="5"/>
        <v>1260</v>
      </c>
    </row>
    <row r="19" spans="1:17" ht="15" customHeight="1" x14ac:dyDescent="0.15">
      <c r="A19" s="12">
        <v>18</v>
      </c>
      <c r="B19" s="27" t="s">
        <v>117</v>
      </c>
      <c r="C19" s="26" t="s">
        <v>111</v>
      </c>
      <c r="D19" s="27" t="s">
        <v>113</v>
      </c>
      <c r="E19" s="28">
        <v>40463</v>
      </c>
      <c r="F19" s="16">
        <v>80</v>
      </c>
      <c r="G19" s="16">
        <v>20</v>
      </c>
      <c r="H19" s="17">
        <f t="shared" si="0"/>
        <v>100</v>
      </c>
      <c r="I19" s="40">
        <v>85</v>
      </c>
      <c r="J19" s="16">
        <v>20</v>
      </c>
      <c r="K19" s="16">
        <f t="shared" si="1"/>
        <v>105</v>
      </c>
      <c r="L19" s="35">
        <f t="shared" si="2"/>
        <v>5</v>
      </c>
      <c r="M19" s="41">
        <v>85</v>
      </c>
      <c r="N19" s="16">
        <v>20</v>
      </c>
      <c r="O19" s="42">
        <f t="shared" si="3"/>
        <v>105</v>
      </c>
      <c r="P19" s="43">
        <f t="shared" si="4"/>
        <v>5</v>
      </c>
      <c r="Q19" s="48">
        <f t="shared" si="5"/>
        <v>1260</v>
      </c>
    </row>
    <row r="20" spans="1:17" ht="15" customHeight="1" x14ac:dyDescent="0.15">
      <c r="A20" s="12">
        <v>19</v>
      </c>
      <c r="B20" s="27" t="s">
        <v>119</v>
      </c>
      <c r="C20" s="26" t="s">
        <v>111</v>
      </c>
      <c r="D20" s="27" t="s">
        <v>113</v>
      </c>
      <c r="E20" s="28">
        <v>40464</v>
      </c>
      <c r="F20" s="16">
        <v>80</v>
      </c>
      <c r="G20" s="16">
        <v>20</v>
      </c>
      <c r="H20" s="17">
        <f t="shared" si="0"/>
        <v>100</v>
      </c>
      <c r="I20" s="40">
        <v>85</v>
      </c>
      <c r="J20" s="16">
        <v>20</v>
      </c>
      <c r="K20" s="16">
        <f t="shared" si="1"/>
        <v>105</v>
      </c>
      <c r="L20" s="35">
        <f t="shared" si="2"/>
        <v>5</v>
      </c>
      <c r="M20" s="41">
        <v>85</v>
      </c>
      <c r="N20" s="16">
        <v>20</v>
      </c>
      <c r="O20" s="42">
        <f t="shared" si="3"/>
        <v>105</v>
      </c>
      <c r="P20" s="43">
        <f t="shared" si="4"/>
        <v>5</v>
      </c>
      <c r="Q20" s="48">
        <f t="shared" si="5"/>
        <v>1260</v>
      </c>
    </row>
    <row r="21" spans="1:17" ht="15" customHeight="1" x14ac:dyDescent="0.15">
      <c r="A21" s="12">
        <v>20</v>
      </c>
      <c r="B21" s="27" t="s">
        <v>83</v>
      </c>
      <c r="C21" s="26" t="s">
        <v>111</v>
      </c>
      <c r="D21" s="27" t="s">
        <v>45</v>
      </c>
      <c r="E21" s="28">
        <v>40469</v>
      </c>
      <c r="F21" s="16">
        <v>80</v>
      </c>
      <c r="G21" s="16">
        <v>20</v>
      </c>
      <c r="H21" s="17">
        <f t="shared" si="0"/>
        <v>100</v>
      </c>
      <c r="I21" s="40">
        <v>83</v>
      </c>
      <c r="J21" s="16">
        <v>20</v>
      </c>
      <c r="K21" s="16">
        <f t="shared" si="1"/>
        <v>103</v>
      </c>
      <c r="L21" s="35">
        <f t="shared" si="2"/>
        <v>3</v>
      </c>
      <c r="M21" s="41">
        <v>85</v>
      </c>
      <c r="N21" s="16">
        <v>20</v>
      </c>
      <c r="O21" s="42">
        <f t="shared" si="3"/>
        <v>105</v>
      </c>
      <c r="P21" s="43">
        <f t="shared" si="4"/>
        <v>5</v>
      </c>
      <c r="Q21" s="48">
        <f t="shared" si="5"/>
        <v>1260</v>
      </c>
    </row>
    <row r="22" spans="1:17" ht="15" customHeight="1" x14ac:dyDescent="0.15">
      <c r="A22" s="12">
        <v>21</v>
      </c>
      <c r="B22" s="27" t="s">
        <v>120</v>
      </c>
      <c r="C22" s="26" t="s">
        <v>111</v>
      </c>
      <c r="D22" s="27" t="s">
        <v>113</v>
      </c>
      <c r="E22" s="28">
        <v>40478</v>
      </c>
      <c r="F22" s="16">
        <v>80</v>
      </c>
      <c r="G22" s="16">
        <v>20</v>
      </c>
      <c r="H22" s="17">
        <f t="shared" si="0"/>
        <v>100</v>
      </c>
      <c r="I22" s="40">
        <v>85</v>
      </c>
      <c r="J22" s="16">
        <v>20</v>
      </c>
      <c r="K22" s="16">
        <f t="shared" si="1"/>
        <v>105</v>
      </c>
      <c r="L22" s="35">
        <f t="shared" si="2"/>
        <v>5</v>
      </c>
      <c r="M22" s="41">
        <v>85</v>
      </c>
      <c r="N22" s="16">
        <v>20</v>
      </c>
      <c r="O22" s="42">
        <f t="shared" si="3"/>
        <v>105</v>
      </c>
      <c r="P22" s="43">
        <f t="shared" si="4"/>
        <v>5</v>
      </c>
      <c r="Q22" s="48">
        <f t="shared" si="5"/>
        <v>1260</v>
      </c>
    </row>
    <row r="23" spans="1:17" ht="15" customHeight="1" x14ac:dyDescent="0.15">
      <c r="A23" s="12">
        <v>22</v>
      </c>
      <c r="B23" s="27" t="s">
        <v>121</v>
      </c>
      <c r="C23" s="26" t="s">
        <v>111</v>
      </c>
      <c r="D23" s="27" t="s">
        <v>113</v>
      </c>
      <c r="E23" s="28">
        <v>40483</v>
      </c>
      <c r="F23" s="16">
        <v>80</v>
      </c>
      <c r="G23" s="16">
        <v>20</v>
      </c>
      <c r="H23" s="17">
        <f t="shared" si="0"/>
        <v>100</v>
      </c>
      <c r="I23" s="40">
        <v>85</v>
      </c>
      <c r="J23" s="16">
        <v>20</v>
      </c>
      <c r="K23" s="16">
        <f t="shared" si="1"/>
        <v>105</v>
      </c>
      <c r="L23" s="35">
        <f t="shared" si="2"/>
        <v>5</v>
      </c>
      <c r="M23" s="41">
        <v>85</v>
      </c>
      <c r="N23" s="16">
        <v>20</v>
      </c>
      <c r="O23" s="42">
        <f t="shared" si="3"/>
        <v>105</v>
      </c>
      <c r="P23" s="43">
        <f t="shared" si="4"/>
        <v>5</v>
      </c>
      <c r="Q23" s="48">
        <f t="shared" si="5"/>
        <v>1260</v>
      </c>
    </row>
    <row r="24" spans="1:17" ht="15" customHeight="1" x14ac:dyDescent="0.15">
      <c r="A24" s="12">
        <v>23</v>
      </c>
      <c r="B24" s="27" t="s">
        <v>122</v>
      </c>
      <c r="C24" s="26" t="s">
        <v>111</v>
      </c>
      <c r="D24" s="27" t="s">
        <v>113</v>
      </c>
      <c r="E24" s="28">
        <v>40518</v>
      </c>
      <c r="F24" s="16">
        <v>80</v>
      </c>
      <c r="G24" s="16">
        <v>20</v>
      </c>
      <c r="H24" s="17">
        <f t="shared" si="0"/>
        <v>100</v>
      </c>
      <c r="I24" s="40">
        <v>80</v>
      </c>
      <c r="J24" s="16">
        <v>20</v>
      </c>
      <c r="K24" s="16">
        <f t="shared" si="1"/>
        <v>100</v>
      </c>
      <c r="L24" s="35">
        <f t="shared" si="2"/>
        <v>0</v>
      </c>
      <c r="M24" s="41">
        <v>80</v>
      </c>
      <c r="N24" s="16">
        <v>20</v>
      </c>
      <c r="O24" s="42">
        <f t="shared" si="3"/>
        <v>100</v>
      </c>
      <c r="P24" s="43">
        <f t="shared" si="4"/>
        <v>0</v>
      </c>
      <c r="Q24" s="48">
        <f t="shared" si="5"/>
        <v>1200</v>
      </c>
    </row>
    <row r="25" spans="1:17" ht="15" customHeight="1" x14ac:dyDescent="0.15">
      <c r="A25" s="12">
        <v>24</v>
      </c>
      <c r="B25" s="27" t="s">
        <v>123</v>
      </c>
      <c r="C25" s="26" t="s">
        <v>111</v>
      </c>
      <c r="D25" s="27" t="s">
        <v>113</v>
      </c>
      <c r="E25" s="28">
        <v>40518</v>
      </c>
      <c r="F25" s="16">
        <v>80</v>
      </c>
      <c r="G25" s="16">
        <v>20</v>
      </c>
      <c r="H25" s="17">
        <f t="shared" si="0"/>
        <v>100</v>
      </c>
      <c r="I25" s="40">
        <v>80</v>
      </c>
      <c r="J25" s="16">
        <v>20</v>
      </c>
      <c r="K25" s="16">
        <f t="shared" si="1"/>
        <v>100</v>
      </c>
      <c r="L25" s="35">
        <f t="shared" si="2"/>
        <v>0</v>
      </c>
      <c r="M25" s="41">
        <v>80</v>
      </c>
      <c r="N25" s="16">
        <v>20</v>
      </c>
      <c r="O25" s="42">
        <f t="shared" si="3"/>
        <v>100</v>
      </c>
      <c r="P25" s="43">
        <f t="shared" si="4"/>
        <v>0</v>
      </c>
      <c r="Q25" s="48">
        <f t="shared" si="5"/>
        <v>1200</v>
      </c>
    </row>
    <row r="26" spans="1:17" ht="15" customHeight="1" x14ac:dyDescent="0.15">
      <c r="A26" s="12">
        <v>25</v>
      </c>
      <c r="B26" s="27" t="s">
        <v>124</v>
      </c>
      <c r="C26" s="26" t="s">
        <v>111</v>
      </c>
      <c r="D26" s="27" t="s">
        <v>113</v>
      </c>
      <c r="E26" s="28">
        <v>40539</v>
      </c>
      <c r="F26" s="16">
        <v>80</v>
      </c>
      <c r="G26" s="16">
        <v>20</v>
      </c>
      <c r="H26" s="17">
        <f t="shared" si="0"/>
        <v>100</v>
      </c>
      <c r="I26" s="40">
        <v>80</v>
      </c>
      <c r="J26" s="16">
        <v>20</v>
      </c>
      <c r="K26" s="16">
        <f t="shared" si="1"/>
        <v>100</v>
      </c>
      <c r="L26" s="35">
        <f t="shared" si="2"/>
        <v>0</v>
      </c>
      <c r="M26" s="41">
        <v>80</v>
      </c>
      <c r="N26" s="16">
        <v>20</v>
      </c>
      <c r="O26" s="42">
        <f t="shared" si="3"/>
        <v>100</v>
      </c>
      <c r="P26" s="43">
        <f t="shared" si="4"/>
        <v>0</v>
      </c>
      <c r="Q26" s="48">
        <f t="shared" si="5"/>
        <v>1200</v>
      </c>
    </row>
    <row r="27" spans="1:17" ht="15" customHeight="1" x14ac:dyDescent="0.15">
      <c r="A27" s="12">
        <v>26</v>
      </c>
      <c r="B27" s="27" t="s">
        <v>125</v>
      </c>
      <c r="C27" s="26" t="s">
        <v>111</v>
      </c>
      <c r="D27" s="27" t="s">
        <v>113</v>
      </c>
      <c r="E27" s="28">
        <v>40547</v>
      </c>
      <c r="F27" s="16">
        <v>80</v>
      </c>
      <c r="G27" s="16">
        <v>20</v>
      </c>
      <c r="H27" s="17">
        <f t="shared" si="0"/>
        <v>100</v>
      </c>
      <c r="I27" s="40">
        <v>80</v>
      </c>
      <c r="J27" s="16">
        <v>20</v>
      </c>
      <c r="K27" s="16">
        <f t="shared" si="1"/>
        <v>100</v>
      </c>
      <c r="L27" s="35">
        <f t="shared" si="2"/>
        <v>0</v>
      </c>
      <c r="M27" s="44">
        <v>80</v>
      </c>
      <c r="N27" s="45">
        <v>20</v>
      </c>
      <c r="O27" s="46">
        <f t="shared" si="3"/>
        <v>100</v>
      </c>
      <c r="P27" s="47">
        <f t="shared" si="4"/>
        <v>0</v>
      </c>
      <c r="Q27" s="48">
        <f t="shared" si="5"/>
        <v>1200</v>
      </c>
    </row>
    <row r="28" spans="1:17" ht="15" customHeight="1" x14ac:dyDescent="0.15">
      <c r="A28" s="29"/>
      <c r="B28" s="30" t="s">
        <v>76</v>
      </c>
      <c r="C28" s="29"/>
      <c r="D28" s="30"/>
      <c r="E28" s="31"/>
      <c r="F28" s="32"/>
      <c r="G28" s="32"/>
      <c r="H28" s="32">
        <f>SUM(H2:H27)</f>
        <v>3199</v>
      </c>
      <c r="I28" s="32"/>
      <c r="J28" s="32"/>
      <c r="K28" s="32">
        <f>SUM(K2:K27)</f>
        <v>3313</v>
      </c>
      <c r="L28" s="32">
        <f t="shared" si="2"/>
        <v>114</v>
      </c>
      <c r="M28" s="32"/>
      <c r="N28" s="32"/>
      <c r="O28" s="32">
        <f>SUM(O2:O27)</f>
        <v>3349</v>
      </c>
      <c r="P28" s="32">
        <f t="shared" si="4"/>
        <v>150</v>
      </c>
      <c r="Q28" s="1">
        <f>SUM(Q2:Q27)</f>
        <v>40188</v>
      </c>
    </row>
    <row r="29" spans="1:17" ht="15" customHeight="1" x14ac:dyDescent="0.15">
      <c r="B29" s="2" t="s">
        <v>126</v>
      </c>
    </row>
    <row r="30" spans="1:17" ht="15" customHeight="1" x14ac:dyDescent="0.15">
      <c r="B30" s="2" t="s">
        <v>127</v>
      </c>
    </row>
    <row r="31" spans="1:17" ht="15" customHeight="1" x14ac:dyDescent="0.15">
      <c r="B31" s="2" t="s">
        <v>128</v>
      </c>
    </row>
  </sheetData>
  <phoneticPr fontId="28" type="noConversion"/>
  <pageMargins left="0.55000000000000004" right="0.44" top="0.56000000000000005" bottom="0.56000000000000005" header="0.5" footer="0.5"/>
  <pageSetup paperSize="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9</vt:i4>
      </vt:variant>
    </vt:vector>
  </HeadingPairs>
  <TitlesOfParts>
    <vt:vector size="18" baseType="lpstr">
      <vt:lpstr>기안문</vt:lpstr>
      <vt:lpstr>총칙</vt:lpstr>
      <vt:lpstr>총괄</vt:lpstr>
      <vt:lpstr>세입</vt:lpstr>
      <vt:lpstr>세출</vt:lpstr>
      <vt:lpstr>예</vt:lpstr>
      <vt:lpstr>Sheet1</vt:lpstr>
      <vt:lpstr>Sheet2</vt:lpstr>
      <vt:lpstr>기간</vt:lpstr>
      <vt:lpstr>기간!Print_Area</vt:lpstr>
      <vt:lpstr>기안문!Print_Area</vt:lpstr>
      <vt:lpstr>세입!Print_Area</vt:lpstr>
      <vt:lpstr>세출!Print_Area</vt:lpstr>
      <vt:lpstr>총괄!Print_Area</vt:lpstr>
      <vt:lpstr>총칙!Print_Area</vt:lpstr>
      <vt:lpstr>세입!Print_Titles</vt:lpstr>
      <vt:lpstr>세출!Print_Titles</vt:lpstr>
      <vt:lpstr>총괄!Print_Titles</vt:lpstr>
    </vt:vector>
  </TitlesOfParts>
  <Company>동구자활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2019-08-26T01:42:17Z</cp:lastPrinted>
  <dcterms:created xsi:type="dcterms:W3CDTF">2000-01-14T03:57:48Z</dcterms:created>
  <dcterms:modified xsi:type="dcterms:W3CDTF">2019-08-26T05:55:18Z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